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tabRatio="697" activeTab="1"/>
  </bookViews>
  <sheets>
    <sheet name="Narrative" sheetId="1" r:id="rId1"/>
    <sheet name="Simple summary" sheetId="2" r:id="rId2"/>
    <sheet name="PCN Costs" sheetId="3" r:id="rId3"/>
    <sheet name="Indicative PCN cost to Practice" sheetId="4" state="hidden" r:id="rId4"/>
    <sheet name="Workforce Model" sheetId="5" r:id="rId5"/>
    <sheet name="A4C Pay Bands (pharm ACP etc)" sheetId="6" r:id="rId6"/>
    <sheet name="PCN Funding streams" sheetId="7" state="hidden" r:id="rId7"/>
    <sheet name="Social Prescribing &quot;100%&quot;" sheetId="8" r:id="rId8"/>
  </sheets>
  <externalReferences>
    <externalReference r:id="rId9"/>
    <externalReference r:id="rId10"/>
    <externalReference r:id="rId11"/>
  </externalReferences>
  <definedNames>
    <definedName name="BudProfileCode">'[1]Lookup Values'!$A$2:$A$112</definedName>
    <definedName name="CurrentMonth">INDEX('[2]03G_Final_1718_Agreed_Allocatio'!#REF!,MATCH("Mth"&amp;RIGHT("0"&amp;[2]Cover!$C$11,2),'[2]03G_Final_1718_Agreed_Allocatio'!#REF!,FALSE))</definedName>
    <definedName name="Org_Code">[2]Cover!$C$5</definedName>
    <definedName name="Z_3A3D6D3D_C242_4ACD_A854_603FFD99C5F9_.wvu.Cols" localSheetId="0" hidden="1">Narrative!$S:$Z</definedName>
    <definedName name="Z_3A3D6D3D_C242_4ACD_A854_603FFD99C5F9_.wvu.Rows" localSheetId="0" hidden="1">Narrative!$69:$80</definedName>
    <definedName name="Z_3A3D6D3D_C242_4ACD_A854_603FFD99C5F9_.wvu.Rows" localSheetId="2" hidden="1">'PCN Costs'!$84:$96</definedName>
  </definedNames>
  <calcPr calcId="145621"/>
  <customWorkbookViews>
    <customWorkbookView name="Hill-Kwan - Personal View" guid="{3A3D6D3D-C242-4ACD-A854-603FFD99C5F9}" mergeInterval="0" personalView="1" maximized="1" windowWidth="1916" windowHeight="829" tabRatio="697" activeSheetId="2"/>
  </customWorkbookViews>
</workbook>
</file>

<file path=xl/calcChain.xml><?xml version="1.0" encoding="utf-8"?>
<calcChain xmlns="http://schemas.openxmlformats.org/spreadsheetml/2006/main">
  <c r="E28" i="2" l="1"/>
  <c r="J8" i="3" l="1"/>
  <c r="J5" i="3"/>
  <c r="E13" i="2"/>
  <c r="D28" i="2" l="1"/>
  <c r="C10" i="2"/>
  <c r="E10" i="2" s="1"/>
  <c r="B80" i="5" l="1"/>
  <c r="B79" i="5"/>
  <c r="B78" i="5"/>
  <c r="B77" i="5"/>
  <c r="B76" i="5"/>
  <c r="B75" i="5"/>
  <c r="B74" i="5"/>
  <c r="B66" i="5"/>
  <c r="B65" i="5"/>
  <c r="B64" i="5"/>
  <c r="B63" i="5"/>
  <c r="B62" i="5"/>
  <c r="B61" i="5"/>
  <c r="B60" i="5"/>
  <c r="B50" i="5"/>
  <c r="B49" i="5"/>
  <c r="B48" i="5"/>
  <c r="B47" i="5"/>
  <c r="B46" i="5"/>
  <c r="B73" i="5"/>
  <c r="C17" i="2"/>
  <c r="C21" i="2" l="1"/>
  <c r="C19" i="2"/>
  <c r="C20" i="2"/>
  <c r="E17" i="2"/>
  <c r="C14" i="3"/>
  <c r="J7" i="3"/>
  <c r="J6" i="3"/>
  <c r="D14" i="3"/>
  <c r="D15" i="3"/>
  <c r="H14" i="3"/>
  <c r="I14" i="3"/>
  <c r="E21" i="2" l="1"/>
  <c r="C22" i="2"/>
  <c r="E22" i="2" s="1"/>
  <c r="E19" i="2"/>
  <c r="E20" i="2"/>
  <c r="I15" i="3" l="1"/>
  <c r="I16" i="3"/>
  <c r="I17" i="3"/>
  <c r="I18" i="3"/>
  <c r="H15" i="3"/>
  <c r="H16" i="3"/>
  <c r="H17" i="3"/>
  <c r="H18" i="3"/>
  <c r="D18" i="5" l="1"/>
  <c r="F14" i="3"/>
  <c r="E12" i="2" s="1"/>
  <c r="E18" i="3"/>
  <c r="E17" i="3"/>
  <c r="E16" i="3"/>
  <c r="E15" i="3"/>
  <c r="E14" i="3" l="1"/>
  <c r="D66" i="5"/>
  <c r="C66" i="5"/>
  <c r="C65" i="5"/>
  <c r="D65" i="5" s="1"/>
  <c r="D64" i="5"/>
  <c r="C64" i="5"/>
  <c r="C63" i="5"/>
  <c r="D63" i="5" s="1"/>
  <c r="D62" i="5"/>
  <c r="C62" i="5"/>
  <c r="C61" i="5"/>
  <c r="D61" i="5" s="1"/>
  <c r="C60" i="5"/>
  <c r="D60" i="5" s="1"/>
  <c r="C59" i="5"/>
  <c r="D59" i="5" s="1"/>
  <c r="B59" i="5"/>
  <c r="B45" i="5"/>
  <c r="B44" i="5"/>
  <c r="B43" i="5"/>
  <c r="C37" i="5"/>
  <c r="I60" i="5" s="1"/>
  <c r="D36" i="5"/>
  <c r="D35" i="5"/>
  <c r="D34" i="5"/>
  <c r="D33" i="5"/>
  <c r="D32" i="5"/>
  <c r="D31" i="5"/>
  <c r="D30" i="5"/>
  <c r="D29" i="5"/>
  <c r="C18" i="5"/>
  <c r="D17" i="5"/>
  <c r="C17" i="5"/>
  <c r="D16" i="5"/>
  <c r="C16" i="5"/>
  <c r="C15" i="5"/>
  <c r="K10" i="5"/>
  <c r="K9" i="5"/>
  <c r="K8" i="5"/>
  <c r="K7" i="5"/>
  <c r="K6" i="5"/>
  <c r="G14" i="3" l="1"/>
  <c r="C77" i="3" s="1"/>
  <c r="E11" i="2"/>
  <c r="C66" i="3"/>
  <c r="C55" i="3"/>
  <c r="C45" i="3"/>
  <c r="H10" i="5"/>
  <c r="D27" i="3" s="1"/>
  <c r="H9" i="5"/>
  <c r="D26" i="3" s="1"/>
  <c r="H8" i="5"/>
  <c r="D25" i="3" s="1"/>
  <c r="H7" i="5"/>
  <c r="D24" i="3" s="1"/>
  <c r="H6" i="5"/>
  <c r="D23" i="3" s="1"/>
  <c r="F31" i="5"/>
  <c r="I32" i="5"/>
  <c r="F35" i="5"/>
  <c r="F30" i="5"/>
  <c r="I35" i="5"/>
  <c r="F29" i="5"/>
  <c r="I30" i="5"/>
  <c r="F33" i="5"/>
  <c r="I34" i="5"/>
  <c r="F59" i="5"/>
  <c r="I31" i="5"/>
  <c r="F34" i="5"/>
  <c r="I29" i="5"/>
  <c r="F32" i="5"/>
  <c r="I33" i="5"/>
  <c r="F36" i="5"/>
  <c r="I36" i="5"/>
  <c r="F60" i="5"/>
  <c r="I61" i="5"/>
  <c r="I62" i="5"/>
  <c r="I63" i="5"/>
  <c r="I64" i="5"/>
  <c r="I65" i="5"/>
  <c r="I66" i="5"/>
  <c r="F61" i="5"/>
  <c r="F62" i="5"/>
  <c r="F63" i="5"/>
  <c r="F64" i="5"/>
  <c r="F65" i="5"/>
  <c r="F66" i="5"/>
  <c r="I59" i="5"/>
  <c r="C67" i="5"/>
  <c r="I8" i="5" l="1"/>
  <c r="I7" i="5"/>
  <c r="H59" i="5" s="1"/>
  <c r="I10" i="5"/>
  <c r="I9" i="5"/>
  <c r="I6" i="5"/>
  <c r="C76" i="5"/>
  <c r="C48" i="5"/>
  <c r="C44" i="5"/>
  <c r="C78" i="5"/>
  <c r="C47" i="5"/>
  <c r="C43" i="5"/>
  <c r="D26" i="8"/>
  <c r="D27" i="8" s="1"/>
  <c r="D28" i="8" s="1"/>
  <c r="C74" i="5" l="1"/>
  <c r="D74" i="5" s="1"/>
  <c r="C73" i="5"/>
  <c r="D73" i="5" s="1"/>
  <c r="C75" i="5"/>
  <c r="D75" i="5" s="1"/>
  <c r="C45" i="5"/>
  <c r="C79" i="5"/>
  <c r="G79" i="5" s="1"/>
  <c r="C50" i="5"/>
  <c r="C77" i="5"/>
  <c r="G77" i="5" s="1"/>
  <c r="C49" i="5"/>
  <c r="C46" i="5"/>
  <c r="G46" i="5" s="1"/>
  <c r="C80" i="5"/>
  <c r="D80" i="5" s="1"/>
  <c r="H61" i="5"/>
  <c r="H65" i="5"/>
  <c r="H30" i="5"/>
  <c r="J30" i="5" s="1"/>
  <c r="H33" i="5"/>
  <c r="J33" i="5" s="1"/>
  <c r="H36" i="5"/>
  <c r="J36" i="5" s="1"/>
  <c r="H64" i="5"/>
  <c r="H35" i="5"/>
  <c r="J35" i="5" s="1"/>
  <c r="H29" i="5"/>
  <c r="J29" i="5" s="1"/>
  <c r="H62" i="5"/>
  <c r="H66" i="5"/>
  <c r="H34" i="5"/>
  <c r="J34" i="5" s="1"/>
  <c r="H60" i="5"/>
  <c r="H32" i="5"/>
  <c r="J32" i="5" s="1"/>
  <c r="H63" i="5"/>
  <c r="H31" i="5"/>
  <c r="J31" i="5" s="1"/>
  <c r="G80" i="5"/>
  <c r="G73" i="5"/>
  <c r="J73" i="5"/>
  <c r="D47" i="5"/>
  <c r="E47" i="5" s="1"/>
  <c r="J47" i="5"/>
  <c r="G47" i="5"/>
  <c r="G75" i="5"/>
  <c r="J48" i="5"/>
  <c r="D48" i="5"/>
  <c r="E48" i="5" s="1"/>
  <c r="G48" i="5"/>
  <c r="E59" i="5"/>
  <c r="G59" i="5" s="1"/>
  <c r="J59" i="5" s="1"/>
  <c r="E34" i="5"/>
  <c r="G34" i="5" s="1"/>
  <c r="E30" i="5"/>
  <c r="G30" i="5" s="1"/>
  <c r="E35" i="5"/>
  <c r="G35" i="5" s="1"/>
  <c r="E31" i="5"/>
  <c r="G31" i="5" s="1"/>
  <c r="E66" i="5"/>
  <c r="G66" i="5" s="1"/>
  <c r="E65" i="5"/>
  <c r="G65" i="5" s="1"/>
  <c r="J65" i="5" s="1"/>
  <c r="E64" i="5"/>
  <c r="G64" i="5" s="1"/>
  <c r="J64" i="5" s="1"/>
  <c r="E63" i="5"/>
  <c r="G63" i="5" s="1"/>
  <c r="E62" i="5"/>
  <c r="G62" i="5" s="1"/>
  <c r="E61" i="5"/>
  <c r="G61" i="5" s="1"/>
  <c r="J61" i="5" s="1"/>
  <c r="E36" i="5"/>
  <c r="G36" i="5" s="1"/>
  <c r="E32" i="5"/>
  <c r="G32" i="5" s="1"/>
  <c r="E60" i="5"/>
  <c r="G60" i="5" s="1"/>
  <c r="J60" i="5" s="1"/>
  <c r="E33" i="5"/>
  <c r="G33" i="5" s="1"/>
  <c r="E29" i="5"/>
  <c r="G29" i="5" s="1"/>
  <c r="J63" i="5"/>
  <c r="D45" i="5"/>
  <c r="E45" i="5" s="1"/>
  <c r="J45" i="5"/>
  <c r="G45" i="5"/>
  <c r="J78" i="5"/>
  <c r="D78" i="5"/>
  <c r="G78" i="5"/>
  <c r="D46" i="5"/>
  <c r="E46" i="5" s="1"/>
  <c r="F77" i="5"/>
  <c r="F73" i="5"/>
  <c r="F80" i="5"/>
  <c r="F76" i="5"/>
  <c r="F50" i="5"/>
  <c r="F48" i="5"/>
  <c r="F46" i="5"/>
  <c r="F44" i="5"/>
  <c r="F79" i="5"/>
  <c r="F75" i="5"/>
  <c r="F78" i="5"/>
  <c r="F74" i="5"/>
  <c r="F49" i="5"/>
  <c r="F47" i="5"/>
  <c r="H47" i="5" s="1"/>
  <c r="F45" i="5"/>
  <c r="F43" i="5"/>
  <c r="D77" i="5"/>
  <c r="J77" i="5"/>
  <c r="D49" i="5"/>
  <c r="E49" i="5" s="1"/>
  <c r="J49" i="5"/>
  <c r="G49" i="5"/>
  <c r="J79" i="5"/>
  <c r="D79" i="5"/>
  <c r="D50" i="5"/>
  <c r="E50" i="5" s="1"/>
  <c r="J50" i="5"/>
  <c r="G50" i="5"/>
  <c r="I78" i="5"/>
  <c r="I74" i="5"/>
  <c r="I49" i="5"/>
  <c r="I47" i="5"/>
  <c r="I45" i="5"/>
  <c r="I43" i="5"/>
  <c r="I77" i="5"/>
  <c r="I73" i="5"/>
  <c r="I80" i="5"/>
  <c r="I76" i="5"/>
  <c r="I50" i="5"/>
  <c r="I48" i="5"/>
  <c r="K48" i="5" s="1"/>
  <c r="I46" i="5"/>
  <c r="I44" i="5"/>
  <c r="I79" i="5"/>
  <c r="I75" i="5"/>
  <c r="D43" i="5"/>
  <c r="E43" i="5" s="1"/>
  <c r="J43" i="5"/>
  <c r="G43" i="5"/>
  <c r="J74" i="5"/>
  <c r="J44" i="5"/>
  <c r="D44" i="5"/>
  <c r="E44" i="5" s="1"/>
  <c r="G44" i="5"/>
  <c r="D76" i="5"/>
  <c r="G76" i="5"/>
  <c r="J76" i="5"/>
  <c r="J80" i="5" l="1"/>
  <c r="H46" i="5"/>
  <c r="J75" i="5"/>
  <c r="G74" i="5"/>
  <c r="J46" i="5"/>
  <c r="J66" i="5"/>
  <c r="E80" i="5" s="1"/>
  <c r="H80" i="5" s="1"/>
  <c r="K80" i="5" s="1"/>
  <c r="J62" i="5"/>
  <c r="E76" i="5" s="1"/>
  <c r="H76" i="5" s="1"/>
  <c r="K76" i="5" s="1"/>
  <c r="K47" i="5"/>
  <c r="E78" i="5"/>
  <c r="H78" i="5" s="1"/>
  <c r="K78" i="5" s="1"/>
  <c r="K45" i="5"/>
  <c r="K46" i="5"/>
  <c r="H48" i="5"/>
  <c r="E77" i="5"/>
  <c r="H77" i="5" s="1"/>
  <c r="K77" i="5" s="1"/>
  <c r="H43" i="5"/>
  <c r="H44" i="5"/>
  <c r="K50" i="5"/>
  <c r="K49" i="5"/>
  <c r="E79" i="5"/>
  <c r="H79" i="5" s="1"/>
  <c r="K79" i="5" s="1"/>
  <c r="E75" i="5"/>
  <c r="H75" i="5" s="1"/>
  <c r="K75" i="5" s="1"/>
  <c r="E74" i="5"/>
  <c r="H74" i="5" s="1"/>
  <c r="K74" i="5" s="1"/>
  <c r="E73" i="5"/>
  <c r="H45" i="5"/>
  <c r="K44" i="5"/>
  <c r="K43" i="5"/>
  <c r="H73" i="5"/>
  <c r="K73" i="5" s="1"/>
  <c r="H49" i="5"/>
  <c r="H50" i="5"/>
  <c r="E27" i="3"/>
  <c r="E26" i="3"/>
  <c r="E25" i="3"/>
  <c r="E24" i="3"/>
  <c r="F18" i="3"/>
  <c r="F17" i="3"/>
  <c r="F16" i="3"/>
  <c r="F15" i="3"/>
  <c r="E23" i="3"/>
  <c r="C23" i="3"/>
  <c r="D18" i="3"/>
  <c r="C27" i="3" s="1"/>
  <c r="D17" i="3"/>
  <c r="C26" i="3" s="1"/>
  <c r="D16" i="3"/>
  <c r="C25" i="3" s="1"/>
  <c r="C24" i="3"/>
  <c r="C18" i="3"/>
  <c r="C17" i="3"/>
  <c r="C16" i="3"/>
  <c r="C15" i="3"/>
  <c r="G18" i="3" l="1"/>
  <c r="C81" i="3" s="1"/>
  <c r="G15" i="3"/>
  <c r="C78" i="3" s="1"/>
  <c r="G17" i="3"/>
  <c r="C80" i="3" s="1"/>
  <c r="J14" i="3"/>
  <c r="C88" i="3" s="1"/>
  <c r="C35" i="3"/>
  <c r="G16" i="3"/>
  <c r="C79" i="3" s="1"/>
  <c r="F24" i="3"/>
  <c r="F27" i="3"/>
  <c r="F26" i="3"/>
  <c r="F25" i="3"/>
  <c r="F23" i="3"/>
  <c r="D70" i="3" l="1"/>
  <c r="D49" i="3" s="1"/>
  <c r="D81" i="3"/>
  <c r="D66" i="3"/>
  <c r="D45" i="3" s="1"/>
  <c r="E45" i="3" s="1"/>
  <c r="F45" i="3" s="1"/>
  <c r="D77" i="3"/>
  <c r="E77" i="3" s="1"/>
  <c r="F77" i="3" s="1"/>
  <c r="D67" i="3"/>
  <c r="D46" i="3" s="1"/>
  <c r="D78" i="3"/>
  <c r="D79" i="3"/>
  <c r="D69" i="3"/>
  <c r="D48" i="3" s="1"/>
  <c r="D80" i="3"/>
  <c r="C47" i="3"/>
  <c r="C57" i="3"/>
  <c r="C68" i="3"/>
  <c r="C58" i="3"/>
  <c r="C48" i="3"/>
  <c r="C69" i="3"/>
  <c r="C70" i="3"/>
  <c r="C49" i="3"/>
  <c r="C59" i="3"/>
  <c r="J18" i="3"/>
  <c r="C92" i="3" s="1"/>
  <c r="C56" i="3"/>
  <c r="C46" i="3"/>
  <c r="C67" i="3"/>
  <c r="E46" i="3"/>
  <c r="C39" i="3"/>
  <c r="E67" i="3"/>
  <c r="E48" i="3"/>
  <c r="E49" i="3"/>
  <c r="C36" i="3"/>
  <c r="E66" i="3"/>
  <c r="F66" i="3" s="1"/>
  <c r="D90" i="3"/>
  <c r="D68" i="3"/>
  <c r="D47" i="3" s="1"/>
  <c r="D88" i="3"/>
  <c r="D59" i="3"/>
  <c r="D92" i="3"/>
  <c r="D58" i="3"/>
  <c r="D91" i="3"/>
  <c r="D56" i="3"/>
  <c r="D89" i="3"/>
  <c r="D55" i="3"/>
  <c r="D35" i="3"/>
  <c r="E35" i="3" s="1"/>
  <c r="F35" i="3" s="1"/>
  <c r="E78" i="3" s="1"/>
  <c r="J17" i="3"/>
  <c r="C91" i="3" s="1"/>
  <c r="D37" i="3"/>
  <c r="D57" i="3"/>
  <c r="C38" i="3"/>
  <c r="J15" i="3"/>
  <c r="C89" i="3" s="1"/>
  <c r="D38" i="3"/>
  <c r="D39" i="3"/>
  <c r="D36" i="3"/>
  <c r="J16" i="3"/>
  <c r="C90" i="3" s="1"/>
  <c r="C37" i="3"/>
  <c r="F78" i="3" l="1"/>
  <c r="F46" i="3"/>
  <c r="E47" i="3"/>
  <c r="F67" i="3"/>
  <c r="E55" i="3"/>
  <c r="F55" i="3" s="1"/>
  <c r="E88" i="3"/>
  <c r="F88" i="3" s="1"/>
  <c r="E36" i="3"/>
  <c r="F36" i="3" s="1"/>
  <c r="B53" i="4"/>
  <c r="B52" i="4"/>
  <c r="B51" i="4"/>
  <c r="B50" i="4"/>
  <c r="B49" i="4"/>
  <c r="B48" i="4"/>
  <c r="B47" i="4"/>
  <c r="B46" i="4"/>
  <c r="E68" i="3" l="1"/>
  <c r="E79" i="3"/>
  <c r="F79" i="3" s="1"/>
  <c r="F47" i="3"/>
  <c r="F48" i="3" s="1"/>
  <c r="F49" i="3" s="1"/>
  <c r="F68" i="3"/>
  <c r="E56" i="3"/>
  <c r="F56" i="3" s="1"/>
  <c r="E89" i="3"/>
  <c r="F89" i="3" s="1"/>
  <c r="E37" i="3"/>
  <c r="F37" i="3" s="1"/>
  <c r="C69" i="4"/>
  <c r="C68" i="4"/>
  <c r="C67" i="4"/>
  <c r="D67" i="4" s="1"/>
  <c r="C66" i="4"/>
  <c r="C65" i="4"/>
  <c r="C64" i="4"/>
  <c r="D64" i="4" s="1"/>
  <c r="C63" i="4"/>
  <c r="D63" i="4" s="1"/>
  <c r="C62" i="4"/>
  <c r="D62" i="4" s="1"/>
  <c r="D69" i="4"/>
  <c r="C40" i="4"/>
  <c r="C70" i="4" s="1"/>
  <c r="E69" i="3" l="1"/>
  <c r="E80" i="3"/>
  <c r="F80" i="3"/>
  <c r="F69" i="3"/>
  <c r="E57" i="3"/>
  <c r="F57" i="3" s="1"/>
  <c r="E90" i="3"/>
  <c r="F90" i="3" s="1"/>
  <c r="E39" i="3"/>
  <c r="E38" i="3"/>
  <c r="F38" i="3" s="1"/>
  <c r="D65" i="4"/>
  <c r="D68" i="4"/>
  <c r="D66" i="4"/>
  <c r="F22" i="8"/>
  <c r="F24" i="8"/>
  <c r="E24" i="8"/>
  <c r="E25" i="8" s="1"/>
  <c r="E26" i="8" s="1"/>
  <c r="E27" i="8" s="1"/>
  <c r="E28" i="8" s="1"/>
  <c r="F18" i="8"/>
  <c r="E18" i="8"/>
  <c r="F17" i="8"/>
  <c r="E17" i="8"/>
  <c r="F16" i="8"/>
  <c r="E16" i="8"/>
  <c r="G16" i="8" s="1"/>
  <c r="H16" i="8" s="1"/>
  <c r="F15" i="8"/>
  <c r="E15" i="8"/>
  <c r="F14" i="8"/>
  <c r="E14" i="8"/>
  <c r="G14" i="8" s="1"/>
  <c r="H14" i="8" s="1"/>
  <c r="F13" i="8"/>
  <c r="E13" i="8"/>
  <c r="F12" i="8"/>
  <c r="E12" i="8"/>
  <c r="G12" i="8" s="1"/>
  <c r="H12" i="8" s="1"/>
  <c r="F11" i="8"/>
  <c r="E11" i="8"/>
  <c r="E70" i="3" l="1"/>
  <c r="F70" i="3" s="1"/>
  <c r="E81" i="3"/>
  <c r="F81" i="3" s="1"/>
  <c r="E58" i="3"/>
  <c r="F58" i="3" s="1"/>
  <c r="E91" i="3"/>
  <c r="F91" i="3" s="1"/>
  <c r="F39" i="3"/>
  <c r="G18" i="8"/>
  <c r="H18" i="8" s="1"/>
  <c r="I18" i="8" s="1"/>
  <c r="G24" i="8"/>
  <c r="H24" i="8" s="1"/>
  <c r="K10" i="4"/>
  <c r="G11" i="8"/>
  <c r="H11" i="8" s="1"/>
  <c r="G13" i="8"/>
  <c r="H13" i="8" s="1"/>
  <c r="G15" i="8"/>
  <c r="H15" i="8" s="1"/>
  <c r="I15" i="8" s="1"/>
  <c r="G17" i="8"/>
  <c r="H17" i="8" s="1"/>
  <c r="I17" i="8" s="1"/>
  <c r="F25" i="8"/>
  <c r="F26" i="8" s="1"/>
  <c r="F27" i="8" s="1"/>
  <c r="F28" i="8" s="1"/>
  <c r="I24" i="8"/>
  <c r="I14" i="8"/>
  <c r="I16" i="8"/>
  <c r="I11" i="8"/>
  <c r="I12" i="8"/>
  <c r="I13" i="8"/>
  <c r="B29" i="7"/>
  <c r="C30" i="7"/>
  <c r="D30" i="7"/>
  <c r="E30" i="7"/>
  <c r="F30" i="7"/>
  <c r="B32" i="7"/>
  <c r="C32" i="7"/>
  <c r="D32" i="7"/>
  <c r="E32" i="7"/>
  <c r="F32" i="7"/>
  <c r="B33" i="7"/>
  <c r="C33" i="7"/>
  <c r="D33" i="7"/>
  <c r="E33" i="7"/>
  <c r="F33" i="7"/>
  <c r="B34" i="7"/>
  <c r="C34" i="7"/>
  <c r="D34" i="7"/>
  <c r="E34" i="7"/>
  <c r="F34" i="7"/>
  <c r="B35" i="7"/>
  <c r="C35" i="7"/>
  <c r="D35" i="7"/>
  <c r="E35" i="7"/>
  <c r="F35" i="7"/>
  <c r="B36" i="7"/>
  <c r="C36" i="7"/>
  <c r="D36" i="7"/>
  <c r="E36" i="7"/>
  <c r="F36" i="7"/>
  <c r="D21" i="4"/>
  <c r="D20" i="4"/>
  <c r="C21" i="4"/>
  <c r="C20" i="4"/>
  <c r="C19" i="4"/>
  <c r="L36" i="6"/>
  <c r="L35" i="6"/>
  <c r="L34" i="6"/>
  <c r="L33" i="6"/>
  <c r="L32" i="6"/>
  <c r="L31" i="6"/>
  <c r="L30" i="6"/>
  <c r="L29" i="6"/>
  <c r="L28" i="6"/>
  <c r="L27" i="6"/>
  <c r="L26" i="6"/>
  <c r="L25" i="6"/>
  <c r="L24" i="6"/>
  <c r="L23" i="6"/>
  <c r="L22" i="6"/>
  <c r="L21" i="6"/>
  <c r="L20" i="6"/>
  <c r="L19" i="6"/>
  <c r="L18" i="6"/>
  <c r="L17" i="6"/>
  <c r="L16" i="6"/>
  <c r="L15" i="6"/>
  <c r="L14" i="6"/>
  <c r="L13" i="6"/>
  <c r="L11" i="6"/>
  <c r="L10" i="6"/>
  <c r="L9" i="6"/>
  <c r="L8" i="6"/>
  <c r="L7" i="6"/>
  <c r="L6" i="6"/>
  <c r="L5" i="6"/>
  <c r="L12" i="6"/>
  <c r="K12" i="6"/>
  <c r="K11" i="6"/>
  <c r="K10" i="6"/>
  <c r="K9" i="6"/>
  <c r="K8" i="6"/>
  <c r="K7" i="6"/>
  <c r="K6" i="6"/>
  <c r="K5" i="6"/>
  <c r="J6" i="6"/>
  <c r="J7" i="6"/>
  <c r="J8" i="6"/>
  <c r="J9" i="6"/>
  <c r="J10" i="6"/>
  <c r="J11" i="6"/>
  <c r="J5" i="6"/>
  <c r="I12" i="6"/>
  <c r="I11" i="6"/>
  <c r="I10" i="6"/>
  <c r="I9" i="6"/>
  <c r="I8" i="6"/>
  <c r="I7" i="6"/>
  <c r="I6" i="6"/>
  <c r="I5" i="6"/>
  <c r="H12" i="6"/>
  <c r="H11" i="6"/>
  <c r="H10" i="6"/>
  <c r="H9" i="6"/>
  <c r="H8" i="6"/>
  <c r="H7" i="6"/>
  <c r="H6" i="6"/>
  <c r="H5" i="6"/>
  <c r="G12" i="6"/>
  <c r="G11" i="6"/>
  <c r="G10" i="6"/>
  <c r="G9" i="6"/>
  <c r="G8" i="6"/>
  <c r="G7" i="6"/>
  <c r="G6" i="6"/>
  <c r="G5" i="6"/>
  <c r="F12" i="6"/>
  <c r="F11" i="6"/>
  <c r="F10" i="6"/>
  <c r="F9" i="6"/>
  <c r="F8" i="6"/>
  <c r="F7" i="6"/>
  <c r="F6" i="6"/>
  <c r="F5" i="6"/>
  <c r="E12" i="6"/>
  <c r="E11" i="6"/>
  <c r="E10" i="6"/>
  <c r="E9" i="6"/>
  <c r="E8" i="6"/>
  <c r="E7" i="6"/>
  <c r="E6" i="6"/>
  <c r="E5" i="6"/>
  <c r="F14" i="6"/>
  <c r="G14" i="6" s="1"/>
  <c r="F15" i="6"/>
  <c r="F16" i="6"/>
  <c r="F17" i="6"/>
  <c r="F18" i="6"/>
  <c r="G18" i="6" s="1"/>
  <c r="F19" i="6"/>
  <c r="F20" i="6"/>
  <c r="F21" i="6"/>
  <c r="G21" i="6" s="1"/>
  <c r="F13" i="6"/>
  <c r="E14" i="6"/>
  <c r="E15" i="6"/>
  <c r="E16" i="6"/>
  <c r="G16" i="6" s="1"/>
  <c r="E17" i="6"/>
  <c r="E18" i="6"/>
  <c r="E19" i="6"/>
  <c r="G19" i="6" s="1"/>
  <c r="E20" i="6"/>
  <c r="G20" i="6" s="1"/>
  <c r="E21" i="6"/>
  <c r="E13" i="6"/>
  <c r="D35" i="4"/>
  <c r="D36" i="4"/>
  <c r="D37" i="4"/>
  <c r="D38" i="4"/>
  <c r="D39" i="4"/>
  <c r="D33" i="4"/>
  <c r="D34" i="4"/>
  <c r="D32" i="4"/>
  <c r="H18" i="7"/>
  <c r="H17" i="7"/>
  <c r="H16" i="7"/>
  <c r="H15" i="7"/>
  <c r="H14" i="7"/>
  <c r="E15" i="7"/>
  <c r="E16" i="7"/>
  <c r="F16" i="7" s="1"/>
  <c r="E17" i="7"/>
  <c r="E18" i="7"/>
  <c r="E14" i="7"/>
  <c r="D18" i="7"/>
  <c r="D17" i="7"/>
  <c r="D16" i="7"/>
  <c r="D15" i="7"/>
  <c r="D14" i="7"/>
  <c r="E59" i="3" l="1"/>
  <c r="F59" i="3" s="1"/>
  <c r="E92" i="3"/>
  <c r="F92" i="3" s="1"/>
  <c r="G25" i="8"/>
  <c r="G26" i="8" s="1"/>
  <c r="G27" i="8" s="1"/>
  <c r="G28" i="8" s="1"/>
  <c r="H25" i="8"/>
  <c r="F67" i="4"/>
  <c r="F66" i="4"/>
  <c r="F62" i="4"/>
  <c r="F63" i="4"/>
  <c r="F69" i="4"/>
  <c r="F65" i="4"/>
  <c r="F64" i="4"/>
  <c r="F68" i="4"/>
  <c r="H13" i="4"/>
  <c r="I13" i="4" s="1"/>
  <c r="H14" i="4"/>
  <c r="I39" i="4"/>
  <c r="I34" i="4"/>
  <c r="H10" i="4"/>
  <c r="I10" i="4" s="1"/>
  <c r="H12" i="4"/>
  <c r="I12" i="4" s="1"/>
  <c r="F36" i="4"/>
  <c r="F33" i="4"/>
  <c r="I36" i="4"/>
  <c r="I35" i="4"/>
  <c r="K32" i="7"/>
  <c r="I33" i="4"/>
  <c r="F39" i="4"/>
  <c r="F34" i="4"/>
  <c r="I37" i="4"/>
  <c r="I38" i="4"/>
  <c r="I32" i="4"/>
  <c r="F32" i="4"/>
  <c r="F35" i="4"/>
  <c r="F38" i="4"/>
  <c r="F37" i="4"/>
  <c r="I25" i="8"/>
  <c r="F17" i="7"/>
  <c r="F15" i="7"/>
  <c r="F14" i="7"/>
  <c r="F18" i="7"/>
  <c r="H11" i="4"/>
  <c r="I11" i="4" s="1"/>
  <c r="G17" i="6"/>
  <c r="G15" i="6"/>
  <c r="J15" i="6" s="1"/>
  <c r="K15" i="6" s="1"/>
  <c r="G13" i="6"/>
  <c r="J16" i="6"/>
  <c r="I16" i="6"/>
  <c r="K16" i="6"/>
  <c r="H16" i="6"/>
  <c r="K21" i="6"/>
  <c r="H21" i="6"/>
  <c r="I21" i="6"/>
  <c r="I17" i="6"/>
  <c r="H17" i="6"/>
  <c r="J20" i="6"/>
  <c r="K20" i="6" s="1"/>
  <c r="I20" i="6"/>
  <c r="H20" i="6"/>
  <c r="H19" i="6"/>
  <c r="J19" i="6"/>
  <c r="K19" i="6" s="1"/>
  <c r="I19" i="6"/>
  <c r="J18" i="6"/>
  <c r="K18" i="6" s="1"/>
  <c r="I18" i="6"/>
  <c r="H18" i="6"/>
  <c r="I13" i="6"/>
  <c r="H13" i="6"/>
  <c r="J13" i="6"/>
  <c r="K13" i="6" s="1"/>
  <c r="J14" i="6"/>
  <c r="K14" i="6" s="1"/>
  <c r="H14" i="6"/>
  <c r="I14" i="6"/>
  <c r="B21" i="7"/>
  <c r="I69" i="4" l="1"/>
  <c r="I65" i="4"/>
  <c r="H26" i="8"/>
  <c r="I63" i="4"/>
  <c r="I62" i="4"/>
  <c r="I68" i="4"/>
  <c r="I67" i="4"/>
  <c r="I64" i="4"/>
  <c r="I66" i="4"/>
  <c r="K11" i="4"/>
  <c r="D21" i="7"/>
  <c r="J33" i="7" s="1"/>
  <c r="L36" i="7"/>
  <c r="L32" i="7"/>
  <c r="L34" i="7"/>
  <c r="L35" i="7"/>
  <c r="H21" i="7"/>
  <c r="L33" i="7"/>
  <c r="F76" i="4"/>
  <c r="F81" i="4"/>
  <c r="F77" i="4"/>
  <c r="F83" i="4"/>
  <c r="F79" i="4"/>
  <c r="F82" i="4"/>
  <c r="F80" i="4"/>
  <c r="F78" i="4"/>
  <c r="C80" i="4"/>
  <c r="C76" i="4"/>
  <c r="D76" i="4" s="1"/>
  <c r="C81" i="4"/>
  <c r="D81" i="4" s="1"/>
  <c r="C79" i="4"/>
  <c r="C77" i="4"/>
  <c r="C78" i="4"/>
  <c r="C82" i="4"/>
  <c r="D82" i="4" s="1"/>
  <c r="C83" i="4"/>
  <c r="D83" i="4" s="1"/>
  <c r="H65" i="4"/>
  <c r="H63" i="4"/>
  <c r="J63" i="4" s="1"/>
  <c r="H62" i="4"/>
  <c r="H67" i="4"/>
  <c r="H66" i="4"/>
  <c r="H64" i="4"/>
  <c r="J64" i="4" s="1"/>
  <c r="H68" i="4"/>
  <c r="J68" i="4" s="1"/>
  <c r="H69" i="4"/>
  <c r="J69" i="4" s="1"/>
  <c r="E69" i="4"/>
  <c r="G69" i="4" s="1"/>
  <c r="E63" i="4"/>
  <c r="G63" i="4" s="1"/>
  <c r="E62" i="4"/>
  <c r="G62" i="4" s="1"/>
  <c r="E67" i="4"/>
  <c r="G67" i="4" s="1"/>
  <c r="E66" i="4"/>
  <c r="G66" i="4" s="1"/>
  <c r="E65" i="4"/>
  <c r="G65" i="4" s="1"/>
  <c r="E64" i="4"/>
  <c r="G64" i="4" s="1"/>
  <c r="E68" i="4"/>
  <c r="G68" i="4" s="1"/>
  <c r="I34" i="7"/>
  <c r="H34" i="7" s="1"/>
  <c r="C53" i="4"/>
  <c r="D53" i="4" s="1"/>
  <c r="C49" i="4"/>
  <c r="D49" i="4" s="1"/>
  <c r="C52" i="4"/>
  <c r="D52" i="4" s="1"/>
  <c r="C48" i="4"/>
  <c r="C51" i="4"/>
  <c r="D51" i="4" s="1"/>
  <c r="C47" i="4"/>
  <c r="D47" i="4" s="1"/>
  <c r="C46" i="4"/>
  <c r="C50" i="4"/>
  <c r="E33" i="4"/>
  <c r="G33" i="4" s="1"/>
  <c r="E37" i="4"/>
  <c r="G37" i="4" s="1"/>
  <c r="E34" i="4"/>
  <c r="G34" i="4" s="1"/>
  <c r="E35" i="4"/>
  <c r="G35" i="4" s="1"/>
  <c r="E36" i="4"/>
  <c r="G36" i="4" s="1"/>
  <c r="E38" i="4"/>
  <c r="G38" i="4" s="1"/>
  <c r="E32" i="4"/>
  <c r="G32" i="4" s="1"/>
  <c r="E39" i="4"/>
  <c r="G39" i="4" s="1"/>
  <c r="I32" i="7"/>
  <c r="H32" i="7" s="1"/>
  <c r="H39" i="4"/>
  <c r="J39" i="4" s="1"/>
  <c r="H35" i="4"/>
  <c r="J35" i="4" s="1"/>
  <c r="H34" i="4"/>
  <c r="J34" i="4" s="1"/>
  <c r="H36" i="4"/>
  <c r="J36" i="4" s="1"/>
  <c r="H38" i="4"/>
  <c r="J38" i="4" s="1"/>
  <c r="H37" i="4"/>
  <c r="J37" i="4" s="1"/>
  <c r="H33" i="4"/>
  <c r="J33" i="4" s="1"/>
  <c r="H32" i="4"/>
  <c r="J32" i="4" s="1"/>
  <c r="I33" i="7"/>
  <c r="H33" i="7" s="1"/>
  <c r="I35" i="7"/>
  <c r="H35" i="7" s="1"/>
  <c r="F53" i="4"/>
  <c r="F49" i="4"/>
  <c r="F52" i="4"/>
  <c r="F48" i="4"/>
  <c r="F51" i="4"/>
  <c r="F50" i="4"/>
  <c r="F46" i="4"/>
  <c r="F47" i="4"/>
  <c r="I14" i="4"/>
  <c r="K17" i="6"/>
  <c r="H15" i="6"/>
  <c r="I15" i="6"/>
  <c r="J17" i="6"/>
  <c r="E21" i="7"/>
  <c r="K30" i="6"/>
  <c r="K31" i="6"/>
  <c r="K32" i="6"/>
  <c r="K33" i="6"/>
  <c r="K34" i="6"/>
  <c r="K35" i="6"/>
  <c r="K36" i="6"/>
  <c r="I30" i="6"/>
  <c r="I31" i="6"/>
  <c r="I32" i="6"/>
  <c r="I33" i="6"/>
  <c r="I34" i="6"/>
  <c r="I35" i="6"/>
  <c r="I36" i="6"/>
  <c r="C23" i="6"/>
  <c r="H23" i="6"/>
  <c r="I23" i="6"/>
  <c r="J23" i="6" s="1"/>
  <c r="K23" i="6" s="1"/>
  <c r="C24" i="6"/>
  <c r="H24" i="6"/>
  <c r="I24" i="6"/>
  <c r="J24" i="6" s="1"/>
  <c r="K24" i="6" s="1"/>
  <c r="C25" i="6"/>
  <c r="H25" i="6"/>
  <c r="I25" i="6"/>
  <c r="J25" i="6" s="1"/>
  <c r="K25" i="6" s="1"/>
  <c r="C26" i="6"/>
  <c r="H26" i="6"/>
  <c r="I26" i="6"/>
  <c r="J26" i="6" s="1"/>
  <c r="K26" i="6" s="1"/>
  <c r="C27" i="6"/>
  <c r="H27" i="6"/>
  <c r="I27" i="6"/>
  <c r="J27" i="6" s="1"/>
  <c r="K27" i="6" s="1"/>
  <c r="C28" i="6"/>
  <c r="H28" i="6"/>
  <c r="I28" i="6"/>
  <c r="J28" i="6" s="1"/>
  <c r="K28" i="6" s="1"/>
  <c r="C29" i="6"/>
  <c r="H29" i="6"/>
  <c r="I29" i="6"/>
  <c r="J29" i="6" s="1"/>
  <c r="K29" i="6" s="1"/>
  <c r="C32" i="6"/>
  <c r="H32" i="6"/>
  <c r="C33" i="6"/>
  <c r="H33" i="6"/>
  <c r="C34" i="6"/>
  <c r="H34" i="6"/>
  <c r="C35" i="6"/>
  <c r="H35" i="6"/>
  <c r="I22" i="6"/>
  <c r="J22" i="6" s="1"/>
  <c r="K22" i="6" s="1"/>
  <c r="D50" i="4" l="1"/>
  <c r="D48" i="4"/>
  <c r="J66" i="4"/>
  <c r="J65" i="4"/>
  <c r="D77" i="4"/>
  <c r="D80" i="4"/>
  <c r="J67" i="4"/>
  <c r="E81" i="4" s="1"/>
  <c r="I26" i="8"/>
  <c r="H27" i="8"/>
  <c r="K12" i="4"/>
  <c r="G78" i="4"/>
  <c r="E53" i="4"/>
  <c r="J34" i="7"/>
  <c r="J32" i="7"/>
  <c r="J35" i="7"/>
  <c r="J36" i="7"/>
  <c r="G83" i="4"/>
  <c r="G82" i="4"/>
  <c r="I81" i="4"/>
  <c r="I77" i="4"/>
  <c r="I83" i="4"/>
  <c r="I79" i="4"/>
  <c r="I82" i="4"/>
  <c r="I80" i="4"/>
  <c r="I76" i="4"/>
  <c r="I78" i="4"/>
  <c r="J62" i="4"/>
  <c r="E76" i="4" s="1"/>
  <c r="E82" i="4"/>
  <c r="D78" i="4"/>
  <c r="E78" i="4" s="1"/>
  <c r="G81" i="4"/>
  <c r="E83" i="4"/>
  <c r="H83" i="4" s="1"/>
  <c r="D79" i="4"/>
  <c r="G76" i="4"/>
  <c r="E77" i="4"/>
  <c r="E80" i="4"/>
  <c r="G53" i="4"/>
  <c r="H53" i="4" s="1"/>
  <c r="G52" i="4"/>
  <c r="H52" i="4" s="1"/>
  <c r="E52" i="4"/>
  <c r="I53" i="4"/>
  <c r="I49" i="4"/>
  <c r="I52" i="4"/>
  <c r="I48" i="4"/>
  <c r="I51" i="4"/>
  <c r="I47" i="4"/>
  <c r="I50" i="4"/>
  <c r="I46" i="4"/>
  <c r="E48" i="4"/>
  <c r="E50" i="4"/>
  <c r="G49" i="4"/>
  <c r="H49" i="4" s="1"/>
  <c r="G50" i="4"/>
  <c r="H50" i="4" s="1"/>
  <c r="E47" i="4"/>
  <c r="E51" i="4"/>
  <c r="G47" i="4"/>
  <c r="H47" i="4" s="1"/>
  <c r="F21" i="7"/>
  <c r="K35" i="7"/>
  <c r="K34" i="7"/>
  <c r="K33" i="7"/>
  <c r="K36" i="7"/>
  <c r="E49" i="4"/>
  <c r="G51" i="4"/>
  <c r="H51" i="4" s="1"/>
  <c r="G48" i="4"/>
  <c r="H48" i="4" s="1"/>
  <c r="D46" i="4"/>
  <c r="E46" i="4" s="1"/>
  <c r="I36" i="7"/>
  <c r="H36" i="7" s="1"/>
  <c r="H30" i="6"/>
  <c r="H31" i="6"/>
  <c r="H36" i="6"/>
  <c r="H22" i="6"/>
  <c r="C36" i="6"/>
  <c r="C31" i="6"/>
  <c r="C30" i="6"/>
  <c r="C22" i="6"/>
  <c r="E79" i="4" l="1"/>
  <c r="K13" i="4"/>
  <c r="H28" i="8"/>
  <c r="I27" i="8"/>
  <c r="G77" i="4"/>
  <c r="H77" i="4" s="1"/>
  <c r="G79" i="4"/>
  <c r="H79" i="4" s="1"/>
  <c r="H78" i="4"/>
  <c r="G80" i="4"/>
  <c r="G46" i="4"/>
  <c r="H46" i="4" s="1"/>
  <c r="H80" i="4"/>
  <c r="H81" i="4"/>
  <c r="H82" i="4"/>
  <c r="H76" i="4"/>
  <c r="J80" i="4" l="1"/>
  <c r="J81" i="4"/>
  <c r="K14" i="4"/>
  <c r="J50" i="4"/>
  <c r="K50" i="4" s="1"/>
  <c r="J52" i="4"/>
  <c r="K52" i="4" s="1"/>
  <c r="J49" i="4"/>
  <c r="K49" i="4" s="1"/>
  <c r="J53" i="4"/>
  <c r="K53" i="4" s="1"/>
  <c r="J51" i="4"/>
  <c r="K51" i="4" s="1"/>
  <c r="J78" i="4"/>
  <c r="K78" i="4" s="1"/>
  <c r="J76" i="4"/>
  <c r="K76" i="4" s="1"/>
  <c r="J77" i="4"/>
  <c r="K77" i="4" s="1"/>
  <c r="J83" i="4"/>
  <c r="K83" i="4" s="1"/>
  <c r="J47" i="4"/>
  <c r="K47" i="4" s="1"/>
  <c r="J46" i="4"/>
  <c r="K46" i="4" s="1"/>
  <c r="J79" i="4"/>
  <c r="K79" i="4" s="1"/>
  <c r="J82" i="4"/>
  <c r="K82" i="4" s="1"/>
  <c r="I28" i="8"/>
  <c r="J48" i="4"/>
  <c r="K48" i="4" s="1"/>
  <c r="K80" i="4"/>
  <c r="K81" i="4"/>
</calcChain>
</file>

<file path=xl/comments1.xml><?xml version="1.0" encoding="utf-8"?>
<comments xmlns="http://schemas.openxmlformats.org/spreadsheetml/2006/main">
  <authors>
    <author>Hill-Kwan</author>
  </authors>
  <commentList>
    <comment ref="E11" authorId="0">
      <text>
        <r>
          <rPr>
            <b/>
            <sz val="9"/>
            <color indexed="81"/>
            <rFont val="Tahoma"/>
            <family val="2"/>
          </rPr>
          <t>Hill-Kwan:</t>
        </r>
        <r>
          <rPr>
            <sz val="9"/>
            <color indexed="81"/>
            <rFont val="Tahoma"/>
            <family val="2"/>
          </rPr>
          <t xml:space="preserve">
Based on Mid-Point, actuals below the cap this year</t>
        </r>
      </text>
    </comment>
    <comment ref="E12" authorId="0">
      <text>
        <r>
          <rPr>
            <b/>
            <sz val="9"/>
            <color indexed="81"/>
            <rFont val="Tahoma"/>
            <family val="2"/>
          </rPr>
          <t>Hill-Kwan:</t>
        </r>
        <r>
          <rPr>
            <sz val="9"/>
            <color indexed="81"/>
            <rFont val="Tahoma"/>
            <family val="2"/>
          </rPr>
          <t xml:space="preserve">
Based on Mid-Point, actuals below the cap this year</t>
        </r>
      </text>
    </comment>
  </commentList>
</comments>
</file>

<file path=xl/comments2.xml><?xml version="1.0" encoding="utf-8"?>
<comments xmlns="http://schemas.openxmlformats.org/spreadsheetml/2006/main">
  <authors>
    <author>Hill-Kwan</author>
  </authors>
  <commentList>
    <comment ref="D14" authorId="0">
      <text>
        <r>
          <rPr>
            <b/>
            <sz val="9"/>
            <color indexed="81"/>
            <rFont val="Tahoma"/>
            <family val="2"/>
          </rPr>
          <t>Hill-Kwan:</t>
        </r>
        <r>
          <rPr>
            <sz val="9"/>
            <color indexed="81"/>
            <rFont val="Tahoma"/>
            <family val="2"/>
          </rPr>
          <t xml:space="preserve">
Jul 19-Mar 20
</t>
        </r>
      </text>
    </comment>
    <comment ref="E14" authorId="0">
      <text>
        <r>
          <rPr>
            <b/>
            <sz val="9"/>
            <color indexed="81"/>
            <rFont val="Tahoma"/>
            <family val="2"/>
          </rPr>
          <t>Hill-Kwan:</t>
        </r>
        <r>
          <rPr>
            <sz val="9"/>
            <color indexed="81"/>
            <rFont val="Tahoma"/>
            <family val="2"/>
          </rPr>
          <t xml:space="preserve">
Jul 19-Mar 20</t>
        </r>
      </text>
    </comment>
    <comment ref="F14" authorId="0">
      <text>
        <r>
          <rPr>
            <b/>
            <sz val="9"/>
            <color indexed="81"/>
            <rFont val="Tahoma"/>
            <family val="2"/>
          </rPr>
          <t>Hill-Kwan:</t>
        </r>
        <r>
          <rPr>
            <sz val="9"/>
            <color indexed="81"/>
            <rFont val="Tahoma"/>
            <family val="2"/>
          </rPr>
          <t xml:space="preserve">
Jul 19-Mar 20</t>
        </r>
      </text>
    </comment>
    <comment ref="C23" authorId="0">
      <text>
        <r>
          <rPr>
            <b/>
            <sz val="9"/>
            <color indexed="81"/>
            <rFont val="Tahoma"/>
            <family val="2"/>
          </rPr>
          <t>Hill-Kwan:</t>
        </r>
        <r>
          <rPr>
            <sz val="9"/>
            <color indexed="81"/>
            <rFont val="Tahoma"/>
            <family val="2"/>
          </rPr>
          <t xml:space="preserve">
Jul 19-Mar 20</t>
        </r>
      </text>
    </comment>
  </commentList>
</comments>
</file>

<file path=xl/comments3.xml><?xml version="1.0" encoding="utf-8"?>
<comments xmlns="http://schemas.openxmlformats.org/spreadsheetml/2006/main">
  <authors>
    <author>Administrator</author>
  </authors>
  <commentList>
    <comment ref="H7" authorId="0">
      <text>
        <r>
          <rPr>
            <b/>
            <sz val="9"/>
            <color indexed="81"/>
            <rFont val="Tahoma"/>
            <family val="2"/>
          </rPr>
          <t>Administrator:</t>
        </r>
        <r>
          <rPr>
            <sz val="9"/>
            <color indexed="81"/>
            <rFont val="Tahoma"/>
            <family val="2"/>
          </rPr>
          <t xml:space="preserve">
taken from Sheet2 and a midband position
= salary plus ONCOSTS
and applies CPI per annum</t>
        </r>
      </text>
    </comment>
    <comment ref="B10" authorId="0">
      <text>
        <r>
          <rPr>
            <b/>
            <sz val="9"/>
            <color indexed="81"/>
            <rFont val="Tahoma"/>
            <family val="2"/>
          </rPr>
          <t>Administrator:</t>
        </r>
        <r>
          <rPr>
            <sz val="9"/>
            <color indexed="81"/>
            <rFont val="Tahoma"/>
            <family val="2"/>
          </rPr>
          <t xml:space="preserve">
This line is 75% of annual as only starts from July</t>
        </r>
      </text>
    </comment>
    <comment ref="G32" authorId="0">
      <text>
        <r>
          <rPr>
            <b/>
            <sz val="8"/>
            <color indexed="81"/>
            <rFont val="Tahoma"/>
            <family val="2"/>
          </rPr>
          <t>Calculation =
Practice DES income
- "30%" cost - any "0%" cost
("0% cost" becomes relevant in later years)</t>
        </r>
      </text>
    </comment>
    <comment ref="G62" authorId="0">
      <text>
        <r>
          <rPr>
            <b/>
            <sz val="8"/>
            <color indexed="81"/>
            <rFont val="Tahoma"/>
            <family val="2"/>
          </rPr>
          <t xml:space="preserve">Calculation =
Practice DES income
- "30%" cost - any "0%" cost
("0% cost" becomes relevant in later years)
For subsequent cells, any surplus is added to any surplus. If there is a deficit, the clock is reset at zero the next year - i.e. no rollover excess ut debt does not roll over
(I.e. it is assumed that any debt is realsied by the practice as a payment to the PCN and does not roll over). </t>
        </r>
      </text>
    </comment>
  </commentList>
</comments>
</file>

<file path=xl/comments4.xml><?xml version="1.0" encoding="utf-8"?>
<comments xmlns="http://schemas.openxmlformats.org/spreadsheetml/2006/main">
  <authors>
    <author>Administrator</author>
  </authors>
  <commentList>
    <comment ref="H4" authorId="0">
      <text>
        <r>
          <rPr>
            <sz val="9"/>
            <color indexed="81"/>
            <rFont val="Tahoma"/>
            <family val="2"/>
          </rPr>
          <t xml:space="preserve"> midband position
= salary plus ONCOSTS
and applies CPI per annum</t>
        </r>
      </text>
    </comment>
    <comment ref="B6" authorId="0">
      <text>
        <r>
          <rPr>
            <b/>
            <sz val="9"/>
            <color indexed="81"/>
            <rFont val="Tahoma"/>
            <family val="2"/>
          </rPr>
          <t>Administrator:</t>
        </r>
        <r>
          <rPr>
            <sz val="9"/>
            <color indexed="81"/>
            <rFont val="Tahoma"/>
            <family val="2"/>
          </rPr>
          <t xml:space="preserve">
This line is 75% of annual as only starts from July</t>
        </r>
      </text>
    </comment>
    <comment ref="G29" authorId="0">
      <text>
        <r>
          <rPr>
            <b/>
            <sz val="8"/>
            <color indexed="81"/>
            <rFont val="Tahoma"/>
            <family val="2"/>
          </rPr>
          <t>Calculation =
Practice DES income
- "30%" cost - any "0%" cost
("0% cost" becomes relevant in later years)</t>
        </r>
      </text>
    </comment>
    <comment ref="G59" authorId="0">
      <text>
        <r>
          <rPr>
            <b/>
            <sz val="8"/>
            <color indexed="81"/>
            <rFont val="Tahoma"/>
            <family val="2"/>
          </rPr>
          <t xml:space="preserve">Calculation =
Practice DES income
- "30%" cost - any "0%" cost
("0% cost" becomes relevant in later years)
For subsequent cells, any surplus is added to any surplus. If there is a deficit, the clock is reset at zero the next year - i.e. no rollover excess ut debt does not roll over
(I.e. it is assumed that any debt is realised by the practice as a payment to the PCN and does not roll over). </t>
        </r>
      </text>
    </comment>
  </commentList>
</comments>
</file>

<file path=xl/comments5.xml><?xml version="1.0" encoding="utf-8"?>
<comments xmlns="http://schemas.openxmlformats.org/spreadsheetml/2006/main">
  <authors>
    <author>Administrator</author>
  </authors>
  <commentList>
    <comment ref="J5" authorId="0">
      <text>
        <r>
          <rPr>
            <b/>
            <sz val="9"/>
            <color indexed="81"/>
            <rFont val="Tahoma"/>
            <family val="2"/>
          </rPr>
          <t>Administrator:</t>
        </r>
        <r>
          <rPr>
            <sz val="9"/>
            <color indexed="81"/>
            <rFont val="Tahoma"/>
            <family val="2"/>
          </rPr>
          <t xml:space="preserve">
Not published cap yet but based on Pharmacy which is around midpoint base salary Band 7…
assume midpoint band 5
 salary reimbursed but no on costs
</t>
        </r>
      </text>
    </comment>
    <comment ref="J13" authorId="0">
      <text>
        <r>
          <rPr>
            <b/>
            <sz val="9"/>
            <color indexed="81"/>
            <rFont val="Tahoma"/>
            <family val="2"/>
          </rPr>
          <t xml:space="preserve">Not published cap yet but based on Pharmacy which is around midpoint base salary Band 7…
assume midpoint band6 salary reimbursed but no on costs
</t>
        </r>
      </text>
    </comment>
  </commentList>
</comments>
</file>

<file path=xl/comments6.xml><?xml version="1.0" encoding="utf-8"?>
<comments xmlns="http://schemas.openxmlformats.org/spreadsheetml/2006/main">
  <authors>
    <author>Administrator</author>
  </authors>
  <commentList>
    <comment ref="D5" authorId="0">
      <text>
        <r>
          <rPr>
            <b/>
            <sz val="9"/>
            <color indexed="81"/>
            <rFont val="Tahoma"/>
            <family val="2"/>
          </rPr>
          <t>Administrator:</t>
        </r>
        <r>
          <rPr>
            <sz val="9"/>
            <color indexed="81"/>
            <rFont val="Tahoma"/>
            <family val="2"/>
          </rPr>
          <t xml:space="preserve">
No indication this will rise with CPI
</t>
        </r>
      </text>
    </comment>
    <comment ref="D6" authorId="0">
      <text>
        <r>
          <rPr>
            <b/>
            <sz val="9"/>
            <color indexed="81"/>
            <rFont val="Tahoma"/>
            <family val="2"/>
          </rPr>
          <t>Administrator:</t>
        </r>
        <r>
          <rPr>
            <sz val="9"/>
            <color indexed="81"/>
            <rFont val="Tahoma"/>
            <family val="2"/>
          </rPr>
          <t xml:space="preserve">
No indication of CPI risk
(note this is from April 2020) it is 51p in 2019-2020
</t>
        </r>
      </text>
    </comment>
    <comment ref="D7" authorId="0">
      <text>
        <r>
          <rPr>
            <b/>
            <sz val="9"/>
            <color indexed="81"/>
            <rFont val="Tahoma"/>
            <family val="2"/>
          </rPr>
          <t>Administrator:</t>
        </r>
        <r>
          <rPr>
            <sz val="9"/>
            <color indexed="81"/>
            <rFont val="Tahoma"/>
            <family val="2"/>
          </rPr>
          <t xml:space="preserve">
NO CPI rise
</t>
        </r>
      </text>
    </comment>
    <comment ref="D8" authorId="0">
      <text>
        <r>
          <rPr>
            <b/>
            <sz val="9"/>
            <color indexed="81"/>
            <rFont val="Tahoma"/>
            <family val="2"/>
          </rPr>
          <t>Administrator:</t>
        </r>
        <r>
          <rPr>
            <sz val="9"/>
            <color indexed="81"/>
            <rFont val="Tahoma"/>
            <family val="2"/>
          </rPr>
          <t xml:space="preserve">
No CPI rise</t>
        </r>
      </text>
    </comment>
    <comment ref="D9" authorId="0">
      <text>
        <r>
          <rPr>
            <b/>
            <sz val="9"/>
            <color indexed="81"/>
            <rFont val="Tahoma"/>
            <family val="2"/>
          </rPr>
          <t>Administrator:</t>
        </r>
        <r>
          <rPr>
            <sz val="9"/>
            <color indexed="81"/>
            <rFont val="Tahoma"/>
            <family val="2"/>
          </rPr>
          <t xml:space="preserve">
NOTE THIS IS PAID TO PRACTICES not PCNs
*BUT* can be used to fund PCN staff/admin
costs</t>
        </r>
      </text>
    </comment>
    <comment ref="E12" authorId="0">
      <text>
        <r>
          <rPr>
            <b/>
            <sz val="9"/>
            <color indexed="81"/>
            <rFont val="Tahoma"/>
            <family val="2"/>
          </rPr>
          <t>Administrator:</t>
        </r>
        <r>
          <rPr>
            <sz val="9"/>
            <color indexed="81"/>
            <rFont val="Tahoma"/>
            <family val="2"/>
          </rPr>
          <t xml:space="preserve">
From April 2020
(it is circa 75% of this in year 1 as a short year)
</t>
        </r>
      </text>
    </comment>
    <comment ref="H12" authorId="0">
      <text>
        <r>
          <rPr>
            <b/>
            <sz val="9"/>
            <color indexed="81"/>
            <rFont val="Tahoma"/>
            <family val="2"/>
          </rPr>
          <t>Administrator:</t>
        </r>
        <r>
          <rPr>
            <sz val="9"/>
            <color indexed="81"/>
            <rFont val="Tahoma"/>
            <family val="2"/>
          </rPr>
          <t xml:space="preserve">
For simplicity on this sheet, rounded to total PCN size (ie. Columns A14-18 &amp; A21)
No mention of any CPI rise year on year</t>
        </r>
      </text>
    </comment>
    <comment ref="H21" authorId="0">
      <text>
        <r>
          <rPr>
            <sz val="9"/>
            <color indexed="81"/>
            <rFont val="Tahoma"/>
            <family val="2"/>
          </rPr>
          <t>Total across the PCN (but paid to practices and at their discretion how to use)</t>
        </r>
      </text>
    </comment>
    <comment ref="L32" authorId="0">
      <text>
        <r>
          <rPr>
            <sz val="9"/>
            <color indexed="81"/>
            <rFont val="Tahoma"/>
            <family val="2"/>
          </rPr>
          <t>Total across the PCN (but paid to practices and at their discretion how to use)</t>
        </r>
      </text>
    </comment>
    <comment ref="L33" authorId="0">
      <text>
        <r>
          <rPr>
            <sz val="9"/>
            <color indexed="81"/>
            <rFont val="Tahoma"/>
            <family val="2"/>
          </rPr>
          <t>Total across the PCN (but paid to practices and at their discretion how to use)</t>
        </r>
      </text>
    </comment>
    <comment ref="L34" authorId="0">
      <text>
        <r>
          <rPr>
            <sz val="9"/>
            <color indexed="81"/>
            <rFont val="Tahoma"/>
            <family val="2"/>
          </rPr>
          <t>Total across the PCN (but paid to practices and at their discretion how to use)</t>
        </r>
      </text>
    </comment>
    <comment ref="L35" authorId="0">
      <text>
        <r>
          <rPr>
            <sz val="9"/>
            <color indexed="81"/>
            <rFont val="Tahoma"/>
            <family val="2"/>
          </rPr>
          <t>Total across the PCN (but paid to practices and at their discretion how to use)</t>
        </r>
      </text>
    </comment>
    <comment ref="L36" authorId="0">
      <text>
        <r>
          <rPr>
            <sz val="9"/>
            <color indexed="81"/>
            <rFont val="Tahoma"/>
            <family val="2"/>
          </rPr>
          <t>Total across the PCN (but paid to practices and at their discretion how to use)</t>
        </r>
      </text>
    </comment>
  </commentList>
</comments>
</file>

<file path=xl/sharedStrings.xml><?xml version="1.0" encoding="utf-8"?>
<sst xmlns="http://schemas.openxmlformats.org/spreadsheetml/2006/main" count="581" uniqueCount="283">
  <si>
    <t>Salary</t>
  </si>
  <si>
    <t>NI
(1819 Rate)</t>
  </si>
  <si>
    <t>Pension
(14.38%)</t>
  </si>
  <si>
    <t>Total</t>
  </si>
  <si>
    <t>Updated to 19/20 rate</t>
  </si>
  <si>
    <t>Bottom</t>
  </si>
  <si>
    <t>Top</t>
  </si>
  <si>
    <t>midpoint</t>
  </si>
  <si>
    <t>Band 7</t>
  </si>
  <si>
    <t>Band 8A</t>
  </si>
  <si>
    <t xml:space="preserve">30% of </t>
  </si>
  <si>
    <t>total inc on costs</t>
  </si>
  <si>
    <t>Spine</t>
  </si>
  <si>
    <t>Point</t>
  </si>
  <si>
    <t>Cost to PCN</t>
  </si>
  <si>
    <t>70% of</t>
  </si>
  <si>
    <t>£</t>
  </si>
  <si>
    <t>%</t>
  </si>
  <si>
    <t>Westgate</t>
  </si>
  <si>
    <t>Aireborough</t>
  </si>
  <si>
    <t>Financial year</t>
  </si>
  <si>
    <t>2019-2020</t>
  </si>
  <si>
    <t>2020-2021</t>
  </si>
  <si>
    <t>2022-2023</t>
  </si>
  <si>
    <t>Social Prescribers</t>
  </si>
  <si>
    <t>Practice #4</t>
  </si>
  <si>
    <t>Practice #5</t>
  </si>
  <si>
    <t>Practice #6</t>
  </si>
  <si>
    <t>Practice #7</t>
  </si>
  <si>
    <t>Practice #8</t>
  </si>
  <si>
    <t>List Size</t>
  </si>
  <si>
    <t>TOTAL PCN Size</t>
  </si>
  <si>
    <t>PCN Size</t>
  </si>
  <si>
    <t>PCN Admin payment</t>
  </si>
  <si>
    <t>PCN Director</t>
  </si>
  <si>
    <t>PCN Director /pt</t>
  </si>
  <si>
    <t>PCN Admin/pt</t>
  </si>
  <si>
    <t>Pharmacist Funding capped at</t>
  </si>
  <si>
    <t xml:space="preserve">Social Prescribing capped at </t>
  </si>
  <si>
    <t>per annum/PCN Pt</t>
  </si>
  <si>
    <t>per annum/PCN</t>
  </si>
  <si>
    <t>Combined PCN Admin &amp; Director</t>
  </si>
  <si>
    <t>Actual PCN Income</t>
  </si>
  <si>
    <t>per annum/pt</t>
  </si>
  <si>
    <t>Practice DES payment</t>
  </si>
  <si>
    <t>Indicative CPI</t>
  </si>
  <si>
    <t>Number of Attached</t>
  </si>
  <si>
    <t>Cost to Practice 2019-2020</t>
  </si>
  <si>
    <t>Additional workforce will be introduced and partially-funded through the Network. The number will build up over the five years, so by 2024 there should be an additional 22,000 staff in primary care, as follows:</t>
  </si>
  <si>
    <r>
      <t>·</t>
    </r>
    <r>
      <rPr>
        <sz val="7"/>
        <color rgb="FF000000"/>
        <rFont val="Times New Roman"/>
        <family val="1"/>
      </rPr>
      <t xml:space="preserve">         </t>
    </r>
    <r>
      <rPr>
        <sz val="11"/>
        <color rgb="FF000000"/>
        <rFont val="Arial"/>
        <family val="2"/>
      </rPr>
      <t>From 2019, each network should be able to employ one clinical pharmacist and one social prescriber.</t>
    </r>
  </si>
  <si>
    <r>
      <t>·</t>
    </r>
    <r>
      <rPr>
        <sz val="7"/>
        <color rgb="FF000000"/>
        <rFont val="Times New Roman"/>
        <family val="1"/>
      </rPr>
      <t xml:space="preserve">         </t>
    </r>
    <r>
      <rPr>
        <sz val="11"/>
        <color rgb="FF000000"/>
        <rFont val="Arial"/>
        <family val="2"/>
      </rPr>
      <t>From 2020, funding will increase to enable the additional employment of first contact physiotherapists and physicians associates.</t>
    </r>
  </si>
  <si>
    <r>
      <t>·</t>
    </r>
    <r>
      <rPr>
        <sz val="7"/>
        <color rgb="FF000000"/>
        <rFont val="Times New Roman"/>
        <family val="1"/>
      </rPr>
      <t xml:space="preserve">         </t>
    </r>
    <r>
      <rPr>
        <sz val="11"/>
        <color rgb="FF000000"/>
        <rFont val="Arial"/>
        <family val="2"/>
      </rPr>
      <t>From 2021, all of the above will increase and community paramedics will be introduced.</t>
    </r>
  </si>
  <si>
    <t>There will be some flexibility around numbers and professions within networks.</t>
  </si>
  <si>
    <t>NHS England will fund 70% of each professional including their on-costs. Networks will need to fund the additional 30% themselves. The exception is social prescribers, which NHS England will fund 100% including on-costs.</t>
  </si>
  <si>
    <t>The workforce and network will be led by a Clinical Director, chosen from within the GPs of each network. This Clinical Director will be funded – an average of a day a week for a network of 40,000 patients (including on-costs) from new funding provided by NHS England.</t>
  </si>
  <si>
    <t>Band 6</t>
  </si>
  <si>
    <t>bottom</t>
  </si>
  <si>
    <t>top</t>
  </si>
  <si>
    <t>70% to MAX</t>
  </si>
  <si>
    <t>Absolutes/known reimbursement</t>
  </si>
  <si>
    <t>Band 5</t>
  </si>
  <si>
    <t>Pharmacists (7)</t>
  </si>
  <si>
    <t>MSK(7)</t>
  </si>
  <si>
    <t>Physician Associates (7)</t>
  </si>
  <si>
    <t>Mid point Band 5</t>
  </si>
  <si>
    <t>Mid point Band 6</t>
  </si>
  <si>
    <t>Mid Point Band 7</t>
  </si>
  <si>
    <t>Role banding</t>
  </si>
  <si>
    <t>"30%" Cost</t>
  </si>
  <si>
    <t>Cost to Practice 2020-2021</t>
  </si>
  <si>
    <t>Cost to Practice 2021-2022</t>
  </si>
  <si>
    <t>Cost to Practice 2022-2023</t>
  </si>
  <si>
    <t>Cost to Practice 2023-2024</t>
  </si>
  <si>
    <t>Cost to PCN (2019)</t>
  </si>
  <si>
    <t>"30% cost" based on your ACTUAL PCN size</t>
  </si>
  <si>
    <t>Indicative Budgets PCNs will hold based on Assumed roles and banding</t>
  </si>
  <si>
    <t>Cost to PCN of</t>
  </si>
  <si>
    <t>social prescribers</t>
  </si>
  <si>
    <t>(total)</t>
  </si>
  <si>
    <t>TOTAL VALUE</t>
  </si>
  <si>
    <t>weighted to actual PCN size</t>
  </si>
  <si>
    <t>Admin Payment</t>
  </si>
  <si>
    <t>Conclusions</t>
  </si>
  <si>
    <t>Chevin Medical</t>
  </si>
  <si>
    <t>Social prescribers</t>
  </si>
  <si>
    <t>below lists 2019 prices</t>
  </si>
  <si>
    <t xml:space="preserve">The stated cap is </t>
  </si>
  <si>
    <t>CPI =</t>
  </si>
  <si>
    <t>ACTUAL Cost to PCN</t>
  </si>
  <si>
    <t>So, you can see that, if no CPI is applied, that in time the "100% reimbursed" social prescribing isn't and is actually a cost to practices</t>
  </si>
  <si>
    <t>Effect of inflation (CPI) on wage if a static cap</t>
  </si>
  <si>
    <t>Practice DES income /annum</t>
  </si>
  <si>
    <t>"0%" Social Prescriber</t>
  </si>
  <si>
    <t>Paramedics(ACP)</t>
  </si>
  <si>
    <t>MSK, Pharmacists &amp; Physician Associates</t>
  </si>
  <si>
    <r>
      <rPr>
        <sz val="16"/>
        <color theme="1"/>
        <rFont val="Calibri"/>
        <family val="2"/>
        <scheme val="minor"/>
      </rPr>
      <t xml:space="preserve">Numbers/roles of staff anticipated (&amp; band) </t>
    </r>
    <r>
      <rPr>
        <b/>
        <u/>
        <sz val="16"/>
        <color theme="1"/>
        <rFont val="Calibri"/>
        <family val="2"/>
        <scheme val="minor"/>
      </rPr>
      <t>per 50000</t>
    </r>
  </si>
  <si>
    <t>(this is then applied to all 2019 costs as a baseline for 2020 and compounded to give an idea of wage inflation over time)</t>
  </si>
  <si>
    <t>Rolling Excess/Deficit</t>
  </si>
  <si>
    <t>Excess/Deficit (in year)</t>
  </si>
  <si>
    <t>This also demonstrates the ability of the larger practices to absorb the costs due to the way the DES is funded versus smaller practices. However any deficits seen in year 4 or 5 in this model are modest</t>
  </si>
  <si>
    <t>ACP/Paramedic (6)</t>
  </si>
  <si>
    <t>Model Two "Reinvestment"</t>
  </si>
  <si>
    <t>Model One "Pay as you go"</t>
  </si>
  <si>
    <t>There are two models illustrated (see "indicative PCN cost to Practice" sheet ; there will be numerous other permutations but these seem the most polarised)</t>
  </si>
  <si>
    <t>Interpreting the results</t>
  </si>
  <si>
    <t>The £1.76 is recurrent and if used to cushion the annual 30% cost, it lasts until year 4 and then deficit starts to rise</t>
  </si>
  <si>
    <r>
      <t>If there is no CPI applied to the NHSE cap, then 100% free social prescribing</t>
    </r>
    <r>
      <rPr>
        <b/>
        <u/>
        <sz val="11"/>
        <color theme="1"/>
        <rFont val="Calibri"/>
        <family val="2"/>
        <scheme val="minor"/>
      </rPr>
      <t xml:space="preserve"> isn't free</t>
    </r>
    <r>
      <rPr>
        <sz val="11"/>
        <color theme="1"/>
        <rFont val="Calibri"/>
        <family val="2"/>
        <scheme val="minor"/>
      </rPr>
      <t xml:space="preserve"> by year 4</t>
    </r>
  </si>
  <si>
    <t>PCN Population</t>
  </si>
  <si>
    <t>ACTUAL PCN clinical costs based on your own network</t>
  </si>
  <si>
    <t>If any excess is reinvested for future years this is what the picture looks like (this would be my recommendation for practices!)</t>
  </si>
  <si>
    <t>Salary Assumptions</t>
  </si>
  <si>
    <t>Annual PCN Network Funding</t>
  </si>
  <si>
    <r>
      <rPr>
        <b/>
        <i/>
        <sz val="11"/>
        <color theme="1"/>
        <rFont val="Calibri"/>
        <family val="2"/>
        <scheme val="minor"/>
      </rPr>
      <t>Practice</t>
    </r>
    <r>
      <rPr>
        <sz val="11"/>
        <color theme="1"/>
        <rFont val="Calibri"/>
        <family val="2"/>
        <scheme val="minor"/>
      </rPr>
      <t xml:space="preserve"> DES payment for participating</t>
    </r>
  </si>
  <si>
    <t>Caveats</t>
  </si>
  <si>
    <t>This does NOT take in to account any change in banding as staff gain experience or new skills (that would increase costs)</t>
  </si>
  <si>
    <t>This does not take in to account the imapct of sick leave, maternity or other absence on the costs.</t>
  </si>
  <si>
    <t>This assumes the reimbursement levels for MSK/ACP and Physician Associates (but as yet, no details are available to corroborate that)</t>
  </si>
  <si>
    <t>These figures do not factor any recruitment, ongoing HR, payroll or administrative costs of supporting this workforce - merely the base salaries and oncosts (NI and pensions)</t>
  </si>
  <si>
    <t>This assumes that all staff are employed in mid-bands as described in the DES</t>
  </si>
  <si>
    <t>I've assumed no CPI applies to any of the caps and any of the funding streams but this may NOT be right and Cpi may apply - in which case the figuresd will look better!</t>
  </si>
  <si>
    <t>I'm not an accountant</t>
  </si>
  <si>
    <r>
      <t xml:space="preserve">This skills matrix is based on the outline given by NHSE </t>
    </r>
    <r>
      <rPr>
        <b/>
        <i/>
        <sz val="11"/>
        <color theme="4" tint="-0.249977111117893"/>
        <rFont val="Calibri"/>
        <family val="2"/>
        <scheme val="minor"/>
      </rPr>
      <t>but</t>
    </r>
    <r>
      <rPr>
        <b/>
        <sz val="11"/>
        <color theme="4" tint="-0.249977111117893"/>
        <rFont val="Calibri"/>
        <family val="2"/>
        <scheme val="minor"/>
      </rPr>
      <t xml:space="preserve"> is not a fixed schedule. PCNs have the ability to adjust to suit their needs. Costs throughout this and the other spreadsheets are then applied based on this matrix. NB: The Matrix is for 50000 patients but costs pro-rata to YOUR PCN size</t>
    </r>
  </si>
  <si>
    <r>
      <t xml:space="preserve">This table shows the </t>
    </r>
    <r>
      <rPr>
        <b/>
        <u/>
        <sz val="16"/>
        <color theme="1"/>
        <rFont val="Calibri"/>
        <family val="2"/>
        <scheme val="minor"/>
      </rPr>
      <t xml:space="preserve">IN YEAR </t>
    </r>
    <r>
      <rPr>
        <b/>
        <sz val="16"/>
        <color theme="1"/>
        <rFont val="Calibri"/>
        <family val="2"/>
        <scheme val="minor"/>
      </rPr>
      <t>excess/deficit on salary costs versus the Annual  DES £1.76 /pt payment to practices</t>
    </r>
  </si>
  <si>
    <t>Primary Care Network</t>
  </si>
  <si>
    <t>Yeadon Health Centre (AKA Guiseley &amp; Yeadon Medical Practice)</t>
  </si>
  <si>
    <t>Menston Medical Centre (Branch of Park Road Medical Centre)</t>
  </si>
  <si>
    <t>Aire Valley Surgery (pka Yeadon Tarn.  Merged with Rawdon Surgery Apr 19)</t>
  </si>
  <si>
    <t>Practice DES payment for participating</t>
  </si>
  <si>
    <t>Clinical Director</t>
  </si>
  <si>
    <t>2021-2022</t>
  </si>
  <si>
    <t>2023-2024</t>
  </si>
  <si>
    <t>"30%" Cost to PCN @50000 Patients</t>
  </si>
  <si>
    <t>Summary of Primary Care Network (PCN) Funds</t>
  </si>
  <si>
    <t>Financial Year</t>
  </si>
  <si>
    <t>This does not take in to account the impact of sick leave, maternity or other absence on the costs.</t>
  </si>
  <si>
    <t xml:space="preserve">PCN Funds &amp; Costs </t>
  </si>
  <si>
    <t>Expected Funds</t>
  </si>
  <si>
    <t>Guide to PCN Finance Model</t>
  </si>
  <si>
    <t>PCN Costs Tab</t>
  </si>
  <si>
    <t xml:space="preserve">This model is based on the information published in the Primary Care Network Handbook. </t>
  </si>
  <si>
    <t>Clinical Director - 19/20 funds only for 9 months from July 2019</t>
  </si>
  <si>
    <t>Clinical Director - Salary based as per handbook of 1 WTE £137,516 and on a sliding WTE of 0.15, 0.20 &amp; 0.25 per 30,40 or 50k PCN population.  The costs shown is the shortfall not covered by the expected Clinical Director Funds</t>
  </si>
  <si>
    <t>Workforce required by PCN modelled to Practice level</t>
  </si>
  <si>
    <r>
      <t xml:space="preserve">Numbers/roles of staff anticipated (&amp; band) </t>
    </r>
    <r>
      <rPr>
        <b/>
        <u/>
        <sz val="16"/>
        <color theme="1"/>
        <rFont val="Calibri"/>
        <family val="2"/>
        <scheme val="minor"/>
      </rPr>
      <t>per 50,000</t>
    </r>
  </si>
  <si>
    <t>Social Prescriber - anticipated costs from shortfall not covered by the expected 100% capped Social Prescriber Funds</t>
  </si>
  <si>
    <t>Staff costs are estimated at mid-point of bandings including On Costs (Employers' NI &amp; Pension), based on Handbook info and anticipated staff funds of 70% based on Pharmacy Post</t>
  </si>
  <si>
    <t>DES framework info:</t>
  </si>
  <si>
    <t>This section can be edited, and PCNs can enter anticipated Workforce requirements</t>
  </si>
  <si>
    <t>This section shows projected costs at a practice level based on "IN YEAR" excess/deficit and also a rolling (reinvested) model</t>
  </si>
  <si>
    <t>How to use this section</t>
  </si>
  <si>
    <t>GREEN boxes can be edited, otherwise I'd recommend leaving the rest of the section alone</t>
  </si>
  <si>
    <t>Practices part of the relevant PCN have been pre-populated</t>
  </si>
  <si>
    <t>·</t>
  </si>
  <si>
    <r>
      <t>·</t>
    </r>
    <r>
      <rPr>
        <sz val="7"/>
        <color rgb="FF000000"/>
        <rFont val="Times New Roman"/>
        <family val="1"/>
      </rPr>
      <t xml:space="preserve">         </t>
    </r>
    <r>
      <rPr>
        <sz val="11"/>
        <color rgb="FF000000"/>
        <rFont val="Arial"/>
        <family val="2"/>
      </rPr>
      <t xml:space="preserve">From 2022, all of the above workforce will be increased so that by 2024 a typical network will receive 5 clinical pharmacists (equivalent of one per practice), three social prescribers, three first contact physiotherapists, two physicians associates </t>
    </r>
  </si>
  <si>
    <t>and one community paramedic.</t>
  </si>
  <si>
    <r>
      <t xml:space="preserve">This table shows the </t>
    </r>
    <r>
      <rPr>
        <b/>
        <u/>
        <sz val="14"/>
        <color theme="1"/>
        <rFont val="Calibri"/>
        <family val="2"/>
        <scheme val="minor"/>
      </rPr>
      <t xml:space="preserve">IN YEAR </t>
    </r>
    <r>
      <rPr>
        <b/>
        <sz val="14"/>
        <color theme="1"/>
        <rFont val="Calibri"/>
        <family val="2"/>
        <scheme val="minor"/>
      </rPr>
      <t>excess/deficit on salary costs versus the Annual  DES £1.76 /pt payment to practices</t>
    </r>
  </si>
  <si>
    <t>The other tabs all have data which flows in to this sheet</t>
  </si>
  <si>
    <t>If any excess is reinvested for future years this is what the model looks like (Recommendation for Practices)</t>
  </si>
  <si>
    <t>These figures do not factor any recruitment, ongoing HR, payroll or administrative costs of supporting this workforce - merely the base salaries and on costs (NI and pensions)</t>
  </si>
  <si>
    <t>The network will decide how the additional workforce is employed (i.e. by a single lead practice, by an organisation (e.g. a Federation or community trust) on behalf of the network, or different professionals employed by different practices within the network).</t>
  </si>
  <si>
    <t>1. This part of the model shows expected PCN funds as detailed from the Primary Care Network handbook over 5 financial years.  This includes expected Core PCN Funds, Clinical Director, Clinical Pharmacist (70%) &amp; Social Prescriber (100%)</t>
  </si>
  <si>
    <t>Core PCN Funds - Based on population as at 1st Jan 2019, and estimated base minimum funds for the next 4 years</t>
  </si>
  <si>
    <t>Social Prescriber - 100% of funds for Mid-Point Band 5 including On Costs (Employers NI &amp; Pension).  Assumption of progression to next pay point for future years &amp; 100% of funds will be inline with this up to the capped funds</t>
  </si>
  <si>
    <t>e.g. ACP/Paramedic</t>
  </si>
  <si>
    <t>Reimbursable amount</t>
  </si>
  <si>
    <t>e.g. Social Prescriber</t>
  </si>
  <si>
    <t>Summary of Social Prescribing - 100% Funded</t>
  </si>
  <si>
    <t>There is a cap to what will be reimbursed, and no mention of CPI/index linking on that to suggest the cap will rise in line with wages.</t>
  </si>
  <si>
    <t>Social prescribing is 100% reimbursed but this may not be the case for future years when mapped out.</t>
  </si>
  <si>
    <t>e.g. MSK/Physicians Associate</t>
  </si>
  <si>
    <t>e.g. Pharmacist</t>
  </si>
  <si>
    <t>Mid Point Band 8A</t>
  </si>
  <si>
    <t>Pharmacists</t>
  </si>
  <si>
    <t>MSK &amp; Physician Associates</t>
  </si>
  <si>
    <t>Clinical Pharmacist Mid. Point Band 8A - 70%</t>
  </si>
  <si>
    <t>Social Prescriber Mid. Point Band 5 - 100%</t>
  </si>
  <si>
    <t>PCN Core Network Funds</t>
  </si>
  <si>
    <t>Total Registered Population</t>
  </si>
  <si>
    <t>Total Weighted Population</t>
  </si>
  <si>
    <t>Extended Hours DES</t>
  </si>
  <si>
    <t>Per Annum/</t>
  </si>
  <si>
    <t>Weighted List Size</t>
  </si>
  <si>
    <t>PCN</t>
  </si>
  <si>
    <t>PCN Clinical Director</t>
  </si>
  <si>
    <t>Agenda for Change pay scales including Indicative on costs</t>
  </si>
  <si>
    <t>*** Worked Example ***</t>
  </si>
  <si>
    <t>Expected Costs</t>
  </si>
  <si>
    <t>Staff Costs - 30% (from Workforce Model Tab)</t>
  </si>
  <si>
    <t>Staff Costs 30% (feeds into PCN Costs tab)</t>
  </si>
  <si>
    <t>Pharmacists (8A)</t>
  </si>
  <si>
    <t>Social Prescriber 0%</t>
  </si>
  <si>
    <t>Total PCN Workforce Costs</t>
  </si>
  <si>
    <t>Funding Options</t>
  </si>
  <si>
    <t>Total Core PCN Funds</t>
  </si>
  <si>
    <t>Total PCN Workforce Costs inc. Social Prescribers</t>
  </si>
  <si>
    <t>Total Funds Remaining - In Year</t>
  </si>
  <si>
    <t>Total Funds Remaining - Cumulative</t>
  </si>
  <si>
    <t>Total Core PCN &amp; Ext. Hours DES Funds</t>
  </si>
  <si>
    <t>Total Core PCN &amp; Ext. Hours DES &amp; Practice DES Funds</t>
  </si>
  <si>
    <t>Total Core PCN &amp; Practice DES Funds</t>
  </si>
  <si>
    <t>PCN Funds &amp; Costs</t>
  </si>
  <si>
    <t>This information is fixed, and PCNs shouldn't need to edit any information on this tab</t>
  </si>
  <si>
    <t>2.  Funds (Columns C-F). There are various assumptions made including;</t>
  </si>
  <si>
    <t>Staff Costs - 30% of costs expected to be funded by PCNs depending on required workforce (figures are taken from requirements entered from Workforce Model tab).  All posts based on mid-point including On Costs</t>
  </si>
  <si>
    <t>This section shows Workforce Costs to PCN.  This shows potential shortfall from Funds received that PCNs may need to cover including;</t>
  </si>
  <si>
    <t>This shows the various options PCNs can choose to use available funds to fund the estimated Workforce Costs</t>
  </si>
  <si>
    <t>Workforce Model tab</t>
  </si>
  <si>
    <t>Salaries have been pitched at midpoint for the stated bands - but this may not be the actual salary for the recruited individual.</t>
  </si>
  <si>
    <t>It may be difficult to avoid a competitive marketplace and - avoiding that will be key to making this a success.</t>
  </si>
  <si>
    <t>In summary this assumes that wage inflation is controlled and PCNs are able to recruit at midbands.</t>
  </si>
  <si>
    <t>In the first 3 years Practices should have an initial cushion of funding that exceeds what they'll need to pay out on 30% costs (due to DES £1.76 a patient per annum)</t>
  </si>
  <si>
    <t>In year 4 practices will need contributions and this will rise over time but this can be largely mitigated if earlier 'excess' payments are reinvested</t>
  </si>
  <si>
    <t>The initial Admin costs will be high in setting this up but that is covered by the PCN £1.50 funding and, if carefully used, a proportion can also be used to offset the 30% (within the rules of the contract)</t>
  </si>
  <si>
    <t>This may be a good thing but Practices will have to work collectively, transform to a MDT team and reduce their reliance on expensive GP time, have very good legal and financial probity and protected time, there will be risks inherent in wage inflation/market forces. PCNs should be mindful that General Practice does not usually employ on Agenda for Change terms. They can be more generous in terms of sick pay, maternity and holiday when directly compared to some other schemes employed by general practice so there are other 'costs' in the PCN roles beyond monetary ones. There is no provision in here for replacement of staff on long term sick (or indeed, any sickness) this model is simply a starter for ten - designed to help and flesh out costs and options.</t>
  </si>
  <si>
    <t>PCN Leeds ABC</t>
  </si>
  <si>
    <r>
      <t xml:space="preserve">This skills matrix is based on the outline given by NHSE </t>
    </r>
    <r>
      <rPr>
        <b/>
        <i/>
        <sz val="11"/>
        <color theme="4" tint="-0.249977111117893"/>
        <rFont val="Calibri"/>
        <family val="2"/>
        <scheme val="minor"/>
      </rPr>
      <t>but</t>
    </r>
    <r>
      <rPr>
        <b/>
        <sz val="11"/>
        <color theme="4" tint="-0.249977111117893"/>
        <rFont val="Calibri"/>
        <family val="2"/>
        <scheme val="minor"/>
      </rPr>
      <t xml:space="preserve"> is not a fixed schedule. PCNs have the ability to adjust to suit their needs. Costs throughout this and the other spreadsheets are then applied based on this matrix. NB: The Matrix is for 50,000 patients but costs pro-rata to YOUR PCN size</t>
    </r>
  </si>
  <si>
    <t>It's assumed no CPI applies to any of the caps and any of the funding streams but this may NOT be right and CPI may apply - in which case the figures will look better!</t>
  </si>
  <si>
    <t>Clinical Pharmacist - 70% of funds for Mid-Point Band 8A (based on known and worst case info) including On Costs (Employers NI &amp; Pension).  Assumption of progression to next pay point for future years &amp; 70% of funds will be inline with this up to the capped funds</t>
  </si>
  <si>
    <t>It has been assumed that the attached staff will be pro-rata to a PCN of 50,000 - so the skills matrix is to be completed as though for 50,000 and the spreadsheet then scales that to the actual PCN size.</t>
  </si>
  <si>
    <t>None of this funding relies on the additional £1.50/pt. PCN fund or the PCN Director funding, although this could be used- so, overall, it looks like there's some leeway if prices are beyond the midpoints….</t>
  </si>
  <si>
    <t>Core PCN Funding (£1.50)</t>
  </si>
  <si>
    <t>Option 1 - Only Core PCN Funds used - so using the £1.50 differently to fund the gap</t>
  </si>
  <si>
    <t>Costs covered until year 3</t>
  </si>
  <si>
    <t>Further funds required</t>
  </si>
  <si>
    <t>The below is merely a quick guide for year 1 only based on a PCN with a population of 50,000</t>
  </si>
  <si>
    <t>Pharmacist 30% funding required</t>
  </si>
  <si>
    <t>Option 1 - use the £1.50 per head funds available</t>
  </si>
  <si>
    <t>to be used as PCN agrees</t>
  </si>
  <si>
    <t>Option 2 - use the £1.76 per head funds available</t>
  </si>
  <si>
    <t>Could be used to fund 2nd year 30% staff costs</t>
  </si>
  <si>
    <t xml:space="preserve">Option 3 - use the £1.45 DES </t>
  </si>
  <si>
    <t>GP</t>
  </si>
  <si>
    <t>Option 4 - mix of the above</t>
  </si>
  <si>
    <t>50,000/1,000*30 = 1,500 min/60 = 25 hrs per week</t>
  </si>
  <si>
    <t xml:space="preserve">Cost to PCN </t>
  </si>
  <si>
    <t>Increased cost over funding</t>
  </si>
  <si>
    <t>It's assummed that (whilst not yet published) the MSK remuneration, on costs and reimbursement from NHSE will be along similar lines</t>
  </si>
  <si>
    <t>the Advanced Care Practitioner (Paramedic) is likely to be banded at 6 -  midpoint for illustration</t>
  </si>
  <si>
    <t>the Physicians Associate is likely to be banded at 7 (midpoint for illustration)</t>
  </si>
  <si>
    <t>Pharmacist based on 8a mid point rather than a band 7 based on current market place</t>
  </si>
  <si>
    <t>ASSUMPTIONS:</t>
  </si>
  <si>
    <t>DES states that remuneration for pharmacy is capped at £37,810 (max basic salary of £43,046)</t>
  </si>
  <si>
    <t>DES states that remuneration for Social prescribing  is capped at £34,113 (max basic of £27,536)</t>
  </si>
  <si>
    <t>Workforce required by PCN modelled to Practice level - please change the green cells to reflect work force plans</t>
  </si>
  <si>
    <t>Practice #1</t>
  </si>
  <si>
    <t>Practice #2</t>
  </si>
  <si>
    <t>Practice #3</t>
  </si>
  <si>
    <t>The cumulative funds could fund the 30% short fall for 10 years if not used for anything else.</t>
  </si>
  <si>
    <t>relies on the £1.50 also being used differently</t>
  </si>
  <si>
    <t>Total PCN workforce ( Clin Director, Social prescibers &amp; pharmacy etc)&amp; Practice DES Funds</t>
  </si>
  <si>
    <t>Funding issue in 2024/25 not covered by the £1.76</t>
  </si>
  <si>
    <t>Option 3 -  PCN workforce Funds (excluding the £1.50) &amp; Extended Hours DES used</t>
  </si>
  <si>
    <t>Option 2 - Core PCN workforce funds (excluding the £1.50) &amp; Practice DES used (if practices are willing to use the £1.76 paid direct)</t>
  </si>
  <si>
    <t xml:space="preserve"> PCNs would need to invest in a cost effective extended access model to free up funds.</t>
  </si>
  <si>
    <t>Not enough to cover all costs recurrent funding issue begins.</t>
  </si>
  <si>
    <t>Funding issue - no longer sufficient funds.</t>
  </si>
  <si>
    <t>Option 4 - Core PCN Funds (including the £1.50) &amp; Practice DES used (if practices are willing to use the £1.76 paid direct)</t>
  </si>
  <si>
    <t>The PCN Costs sheet shows future years costs and funding options whereby costs increase due to additional staff &amp; wage increases etc</t>
  </si>
  <si>
    <t>An amount from each different fund could be used to fund the gap</t>
  </si>
  <si>
    <t>Per Annum</t>
  </si>
  <si>
    <t>There are 3 sections to the model: Section 1 - Simple summary tab - shows a simple summary of Year 1 - 2019/20 only.  Section 2 - PCN Costs tab - shows future years, &amp; Section 3: Workforce Model tab - shows required additional staff.</t>
  </si>
  <si>
    <t>Summary of 2019-20</t>
  </si>
  <si>
    <t>This is a very simple summary demonstrating the range of options available to PCNs to fund the 30% gap in workforce funding in 2019/20.</t>
  </si>
  <si>
    <t>Full Year (£)</t>
  </si>
  <si>
    <t>Registered Practice List</t>
  </si>
  <si>
    <t xml:space="preserve"> 2019/20 (Jul-Mar) (£)</t>
  </si>
  <si>
    <t>Clinical Director (£0.52/0.69)</t>
  </si>
  <si>
    <t>Extended Hours DES (£1.09/1.45)</t>
  </si>
  <si>
    <t>Practice DES (£1.76)</t>
  </si>
  <si>
    <t>Total Potential PCN Funds (£)</t>
  </si>
  <si>
    <t>Total Core PCN Funds/Income (£1.50, Clin. Director &amp; Workforce)</t>
  </si>
  <si>
    <t>Section 3:</t>
  </si>
  <si>
    <t>PCN Part year July - March =</t>
  </si>
  <si>
    <t>Remainder =</t>
  </si>
  <si>
    <r>
      <rPr>
        <b/>
        <sz val="11"/>
        <color theme="1"/>
        <rFont val="Calibri"/>
        <family val="2"/>
        <scheme val="minor"/>
      </rPr>
      <t>£1.45 DES requirement</t>
    </r>
    <r>
      <rPr>
        <sz val="11"/>
        <color theme="1"/>
        <rFont val="Calibri"/>
        <family val="2"/>
        <scheme val="minor"/>
      </rPr>
      <t xml:space="preserve"> = 30 mins per wk per 1,000 pop'n</t>
    </r>
  </si>
  <si>
    <t>Estimated Cost based on Confed extended hrs service</t>
  </si>
  <si>
    <t>Per Hour</t>
  </si>
  <si>
    <t>Per Week</t>
  </si>
  <si>
    <t>Note no oncosts/ running costs etc</t>
  </si>
  <si>
    <t>Population =</t>
  </si>
  <si>
    <t>Option 5 - Core PCN Funds (including the £1.50) &amp; Extended Hours DES used</t>
  </si>
  <si>
    <t>Option 6 - All Funds - Core PCN Funds, Extended Hours DES &amp; Practice DES used</t>
  </si>
  <si>
    <t>Not enough funding for a GP to fullfill the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</si>
</sst>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 #,##0.00_ ;_ * \-#,##0.00_ ;_ * &quot;-&quot;??_ ;_ @_ "/>
    <numFmt numFmtId="165" formatCode="&quot;£&quot;#,##0"/>
    <numFmt numFmtId="166" formatCode="&quot;£&quot;#,##0.00"/>
    <numFmt numFmtId="167" formatCode="_-&quot;£&quot;* #,##0.000000000_-;\-&quot;£&quot;* #,##0.000000000_-;_-&quot;£&quot;* &quot;-&quot;?????????_-;_-@_-"/>
    <numFmt numFmtId="168" formatCode="0.0%"/>
    <numFmt numFmtId="169" formatCode="_-* #,##0_-;\-* #,##0_-;_-* &quot;-&quot;??_-;_-@_-"/>
    <numFmt numFmtId="170" formatCode="_-* #,##0.0_-;\-* #,##0.0_-;_-* &quot;-&quot;?_-;_-@_-"/>
    <numFmt numFmtId="171" formatCode="#,##0;[Red]\(#,##0\)"/>
    <numFmt numFmtId="172" formatCode="_-&quot;£&quot;* #,##0_-;\-&quot;£&quot;* #,##0_-;_-&quot;£&quot;*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9"/>
      <name val="Arial"/>
      <family val="2"/>
    </font>
    <font>
      <sz val="10"/>
      <name val="Times New Roman"/>
      <family val="1"/>
    </font>
    <font>
      <sz val="10"/>
      <color theme="1"/>
      <name val="Arial"/>
      <family val="2"/>
    </font>
    <font>
      <b/>
      <sz val="12"/>
      <color theme="1"/>
      <name val="Calibri"/>
      <family val="2"/>
      <scheme val="minor"/>
    </font>
    <font>
      <sz val="9"/>
      <color indexed="81"/>
      <name val="Tahoma"/>
      <family val="2"/>
    </font>
    <font>
      <b/>
      <sz val="9"/>
      <color indexed="81"/>
      <name val="Tahoma"/>
      <family val="2"/>
    </font>
    <font>
      <sz val="16"/>
      <color theme="1"/>
      <name val="Calibri"/>
      <family val="2"/>
      <scheme val="minor"/>
    </font>
    <font>
      <sz val="18"/>
      <color theme="1"/>
      <name val="Calibri"/>
      <family val="2"/>
      <scheme val="minor"/>
    </font>
    <font>
      <b/>
      <sz val="16"/>
      <color theme="1"/>
      <name val="Calibri"/>
      <family val="2"/>
      <scheme val="minor"/>
    </font>
    <font>
      <b/>
      <sz val="26"/>
      <color theme="1"/>
      <name val="Calibri"/>
      <family val="2"/>
      <scheme val="minor"/>
    </font>
    <font>
      <b/>
      <i/>
      <sz val="11"/>
      <color theme="1"/>
      <name val="Calibri"/>
      <family val="2"/>
      <scheme val="minor"/>
    </font>
    <font>
      <sz val="11"/>
      <color rgb="FF000000"/>
      <name val="Arial"/>
      <family val="2"/>
    </font>
    <font>
      <sz val="10"/>
      <color rgb="FF000000"/>
      <name val="Symbol"/>
      <family val="1"/>
      <charset val="2"/>
    </font>
    <font>
      <sz val="7"/>
      <color rgb="FF000000"/>
      <name val="Times New Roman"/>
      <family val="1"/>
    </font>
    <font>
      <b/>
      <u/>
      <sz val="18"/>
      <color theme="1"/>
      <name val="Calibri"/>
      <family val="2"/>
      <scheme val="minor"/>
    </font>
    <font>
      <b/>
      <u/>
      <sz val="11"/>
      <color theme="1"/>
      <name val="Calibri"/>
      <family val="2"/>
      <scheme val="minor"/>
    </font>
    <font>
      <i/>
      <sz val="16"/>
      <color theme="1"/>
      <name val="Calibri"/>
      <family val="2"/>
      <scheme val="minor"/>
    </font>
    <font>
      <u/>
      <sz val="11"/>
      <color theme="1"/>
      <name val="Calibri"/>
      <family val="2"/>
      <scheme val="minor"/>
    </font>
    <font>
      <b/>
      <sz val="18"/>
      <color theme="1"/>
      <name val="Calibri"/>
      <family val="2"/>
      <scheme val="minor"/>
    </font>
    <font>
      <sz val="20"/>
      <color theme="1"/>
      <name val="Calibri"/>
      <family val="2"/>
      <scheme val="minor"/>
    </font>
    <font>
      <b/>
      <sz val="11"/>
      <color theme="4" tint="-0.249977111117893"/>
      <name val="Calibri"/>
      <family val="2"/>
      <scheme val="minor"/>
    </font>
    <font>
      <b/>
      <i/>
      <sz val="11"/>
      <color theme="4" tint="-0.249977111117893"/>
      <name val="Calibri"/>
      <family val="2"/>
      <scheme val="minor"/>
    </font>
    <font>
      <b/>
      <i/>
      <sz val="18"/>
      <color theme="1"/>
      <name val="Calibri"/>
      <family val="2"/>
      <scheme val="minor"/>
    </font>
    <font>
      <sz val="14"/>
      <color theme="1"/>
      <name val="Calibri"/>
      <family val="2"/>
      <scheme val="minor"/>
    </font>
    <font>
      <b/>
      <u/>
      <sz val="16"/>
      <color theme="1"/>
      <name val="Calibri"/>
      <family val="2"/>
      <scheme val="minor"/>
    </font>
    <font>
      <b/>
      <sz val="11"/>
      <color theme="1"/>
      <name val="Arial"/>
      <family val="2"/>
    </font>
    <font>
      <i/>
      <sz val="11"/>
      <color theme="1"/>
      <name val="Calibri"/>
      <family val="2"/>
      <scheme val="minor"/>
    </font>
    <font>
      <b/>
      <i/>
      <sz val="22"/>
      <color theme="1"/>
      <name val="Calibri"/>
      <family val="2"/>
      <scheme val="minor"/>
    </font>
    <font>
      <b/>
      <i/>
      <sz val="14"/>
      <color theme="1"/>
      <name val="Calibri"/>
      <family val="2"/>
      <scheme val="minor"/>
    </font>
    <font>
      <b/>
      <i/>
      <u/>
      <sz val="16"/>
      <color theme="1"/>
      <name val="Calibri"/>
      <family val="2"/>
      <scheme val="minor"/>
    </font>
    <font>
      <sz val="12"/>
      <color theme="1"/>
      <name val="Calibri"/>
      <family val="2"/>
      <scheme val="minor"/>
    </font>
    <font>
      <b/>
      <sz val="12"/>
      <color theme="1"/>
      <name val="Arial"/>
      <family val="2"/>
    </font>
    <font>
      <b/>
      <sz val="8"/>
      <color indexed="81"/>
      <name val="Tahoma"/>
      <family val="2"/>
    </font>
    <font>
      <b/>
      <sz val="14"/>
      <color theme="1"/>
      <name val="Calibri"/>
      <family val="2"/>
      <scheme val="minor"/>
    </font>
    <font>
      <b/>
      <u/>
      <sz val="14"/>
      <color theme="1"/>
      <name val="Calibri"/>
      <family val="2"/>
      <scheme val="minor"/>
    </font>
    <font>
      <b/>
      <i/>
      <sz val="12"/>
      <color rgb="FF000000"/>
      <name val="Calibri"/>
      <family val="2"/>
      <scheme val="minor"/>
    </font>
    <font>
      <i/>
      <sz val="14"/>
      <color rgb="FF000000"/>
      <name val="Calibri"/>
      <family val="2"/>
      <scheme val="minor"/>
    </font>
    <font>
      <b/>
      <i/>
      <sz val="16"/>
      <color theme="1"/>
      <name val="Calibri"/>
      <family val="2"/>
      <scheme val="minor"/>
    </font>
    <font>
      <b/>
      <u/>
      <sz val="12"/>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indexed="2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9.9978637043366805E-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0" fontId="3" fillId="0" borderId="0"/>
    <xf numFmtId="0" fontId="3" fillId="0" borderId="0"/>
    <xf numFmtId="164" fontId="5" fillId="0" borderId="0" applyFont="0" applyFill="0" applyBorder="0" applyAlignment="0" applyProtection="0"/>
    <xf numFmtId="0" fontId="3" fillId="0" borderId="0"/>
    <xf numFmtId="0" fontId="1" fillId="0" borderId="0"/>
    <xf numFmtId="0" fontId="3" fillId="0" borderId="0"/>
    <xf numFmtId="0" fontId="6" fillId="0" borderId="0"/>
    <xf numFmtId="0" fontId="3" fillId="0" borderId="0"/>
    <xf numFmtId="0" fontId="3" fillId="0" borderId="0"/>
    <xf numFmtId="0" fontId="3" fillId="0" borderId="0"/>
    <xf numFmtId="44" fontId="1" fillId="0" borderId="0" applyFont="0" applyFill="0" applyBorder="0" applyAlignment="0" applyProtection="0"/>
    <xf numFmtId="43" fontId="1" fillId="0" borderId="0" applyFont="0" applyFill="0" applyBorder="0" applyAlignment="0" applyProtection="0"/>
  </cellStyleXfs>
  <cellXfs count="384">
    <xf numFmtId="0" fontId="0" fillId="0" borderId="0" xfId="0"/>
    <xf numFmtId="0" fontId="2" fillId="0" borderId="0" xfId="0" applyFont="1"/>
    <xf numFmtId="3" fontId="0" fillId="0" borderId="0" xfId="0" applyNumberFormat="1"/>
    <xf numFmtId="3" fontId="0" fillId="2" borderId="0" xfId="0" applyNumberFormat="1" applyFont="1" applyFill="1"/>
    <xf numFmtId="3" fontId="0" fillId="0" borderId="0" xfId="0" applyNumberFormat="1" applyFont="1"/>
    <xf numFmtId="7" fontId="4" fillId="3" borderId="1" xfId="1" applyNumberFormat="1" applyFont="1" applyFill="1" applyBorder="1" applyAlignment="1">
      <alignment horizontal="center" wrapText="1"/>
    </xf>
    <xf numFmtId="3" fontId="4" fillId="3" borderId="2" xfId="1"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3" fontId="0" fillId="0" borderId="0" xfId="0" applyNumberFormat="1" applyFont="1" applyFill="1"/>
    <xf numFmtId="7" fontId="4" fillId="3" borderId="3" xfId="1" applyNumberFormat="1" applyFont="1" applyFill="1" applyBorder="1" applyAlignment="1">
      <alignment horizontal="center" wrapText="1"/>
    </xf>
    <xf numFmtId="0" fontId="0" fillId="0" borderId="0" xfId="0" applyBorder="1"/>
    <xf numFmtId="0" fontId="0" fillId="0" borderId="5" xfId="0" applyBorder="1"/>
    <xf numFmtId="0" fontId="0" fillId="0" borderId="10" xfId="0" applyBorder="1"/>
    <xf numFmtId="0" fontId="0" fillId="0" borderId="11" xfId="0" applyBorder="1"/>
    <xf numFmtId="0" fontId="0" fillId="0" borderId="0" xfId="0" applyAlignment="1">
      <alignment horizontal="center"/>
    </xf>
    <xf numFmtId="0" fontId="0" fillId="0" borderId="10" xfId="0" applyBorder="1" applyAlignment="1">
      <alignment horizontal="center"/>
    </xf>
    <xf numFmtId="0" fontId="0" fillId="0" borderId="4" xfId="0" applyBorder="1"/>
    <xf numFmtId="0" fontId="7" fillId="0" borderId="10" xfId="0" applyFont="1" applyBorder="1"/>
    <xf numFmtId="0" fontId="0" fillId="0" borderId="3" xfId="0" applyBorder="1"/>
    <xf numFmtId="0" fontId="0" fillId="6" borderId="0" xfId="0" applyFill="1"/>
    <xf numFmtId="0" fontId="0" fillId="6" borderId="0" xfId="0" applyFont="1" applyFill="1"/>
    <xf numFmtId="165" fontId="0" fillId="0" borderId="0" xfId="0" applyNumberFormat="1" applyAlignment="1">
      <alignment horizontal="center"/>
    </xf>
    <xf numFmtId="8" fontId="0" fillId="0" borderId="0" xfId="0" applyNumberFormat="1" applyAlignment="1">
      <alignment horizontal="center"/>
    </xf>
    <xf numFmtId="6" fontId="0" fillId="0" borderId="0" xfId="0" applyNumberFormat="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0" fillId="0" borderId="1" xfId="0" applyBorder="1" applyAlignment="1">
      <alignment horizontal="center" wrapText="1"/>
    </xf>
    <xf numFmtId="165" fontId="0" fillId="0" borderId="3" xfId="0" applyNumberFormat="1" applyBorder="1" applyAlignment="1">
      <alignment horizontal="center"/>
    </xf>
    <xf numFmtId="0" fontId="13" fillId="0" borderId="0" xfId="0" applyFont="1"/>
    <xf numFmtId="0" fontId="14" fillId="6" borderId="10" xfId="0" applyFont="1" applyFill="1" applyBorder="1" applyAlignment="1">
      <alignment horizontal="left"/>
    </xf>
    <xf numFmtId="0" fontId="14" fillId="0" borderId="0" xfId="0" applyFont="1" applyBorder="1"/>
    <xf numFmtId="0" fontId="0" fillId="0" borderId="1" xfId="0" applyBorder="1" applyAlignment="1">
      <alignment horizontal="center" vertical="center" wrapText="1"/>
    </xf>
    <xf numFmtId="0" fontId="14" fillId="0" borderId="0" xfId="0" applyFont="1"/>
    <xf numFmtId="0" fontId="0" fillId="0" borderId="8" xfId="0" applyBorder="1" applyAlignment="1">
      <alignment horizontal="center"/>
    </xf>
    <xf numFmtId="0" fontId="0" fillId="8" borderId="8" xfId="0" applyFill="1" applyBorder="1" applyAlignment="1">
      <alignment horizontal="center"/>
    </xf>
    <xf numFmtId="0" fontId="0" fillId="0" borderId="0" xfId="0" applyFont="1"/>
    <xf numFmtId="0" fontId="15" fillId="0" borderId="0" xfId="0" applyFont="1" applyAlignment="1">
      <alignment vertical="center"/>
    </xf>
    <xf numFmtId="0" fontId="16" fillId="0" borderId="0" xfId="0" applyFont="1" applyAlignment="1">
      <alignment horizontal="left" vertical="center" indent="2"/>
    </xf>
    <xf numFmtId="3" fontId="0" fillId="6" borderId="0" xfId="0" applyNumberFormat="1" applyFont="1" applyFill="1"/>
    <xf numFmtId="0" fontId="0" fillId="6" borderId="0" xfId="0" applyFill="1" applyBorder="1"/>
    <xf numFmtId="0" fontId="2" fillId="6" borderId="0" xfId="0" applyFont="1" applyFill="1"/>
    <xf numFmtId="0" fontId="0" fillId="8" borderId="0" xfId="0" applyFill="1"/>
    <xf numFmtId="167" fontId="0" fillId="6" borderId="0" xfId="0" applyNumberFormat="1" applyFill="1"/>
    <xf numFmtId="166" fontId="0" fillId="0" borderId="0" xfId="0" applyNumberFormat="1" applyAlignment="1">
      <alignment horizontal="center"/>
    </xf>
    <xf numFmtId="0" fontId="18" fillId="0" borderId="0" xfId="0" applyFont="1" applyAlignment="1">
      <alignment vertical="top"/>
    </xf>
    <xf numFmtId="9" fontId="10" fillId="6" borderId="0" xfId="0" applyNumberFormat="1" applyFont="1" applyFill="1" applyAlignment="1">
      <alignment horizontal="left"/>
    </xf>
    <xf numFmtId="9" fontId="10" fillId="6" borderId="0" xfId="0" applyNumberFormat="1" applyFont="1" applyFill="1" applyAlignment="1">
      <alignment horizontal="center"/>
    </xf>
    <xf numFmtId="0" fontId="12" fillId="0" borderId="0" xfId="0" applyFont="1"/>
    <xf numFmtId="0" fontId="0" fillId="0" borderId="18"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20" xfId="0" applyFont="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3" fontId="0" fillId="6" borderId="0" xfId="1" applyNumberFormat="1" applyFont="1" applyFill="1" applyBorder="1" applyAlignment="1">
      <alignment horizontal="center" vertical="center" wrapText="1"/>
    </xf>
    <xf numFmtId="166" fontId="0" fillId="6" borderId="0" xfId="0" applyNumberFormat="1" applyFill="1" applyAlignment="1">
      <alignment horizontal="center"/>
    </xf>
    <xf numFmtId="0" fontId="2" fillId="6" borderId="0" xfId="0" applyFont="1" applyFill="1" applyBorder="1"/>
    <xf numFmtId="0" fontId="0" fillId="8" borderId="5" xfId="0" applyFill="1" applyBorder="1" applyAlignment="1">
      <alignment horizontal="center"/>
    </xf>
    <xf numFmtId="9" fontId="0" fillId="0" borderId="11" xfId="0" applyNumberFormat="1" applyBorder="1" applyAlignment="1">
      <alignment horizont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9" xfId="0" applyNumberFormat="1" applyBorder="1" applyAlignment="1">
      <alignment horizontal="center" vertical="center"/>
    </xf>
    <xf numFmtId="0" fontId="19" fillId="0" borderId="0" xfId="0" applyFont="1"/>
    <xf numFmtId="0" fontId="20" fillId="0" borderId="0" xfId="0" applyFont="1"/>
    <xf numFmtId="0" fontId="21" fillId="0" borderId="0" xfId="0" applyFont="1"/>
    <xf numFmtId="0" fontId="0" fillId="0" borderId="6" xfId="0" applyBorder="1" applyAlignment="1">
      <alignment horizontal="center"/>
    </xf>
    <xf numFmtId="168" fontId="0" fillId="0" borderId="0" xfId="0" applyNumberFormat="1" applyAlignment="1">
      <alignment horizontal="center"/>
    </xf>
    <xf numFmtId="168" fontId="4" fillId="3" borderId="3" xfId="1" applyNumberFormat="1" applyFont="1" applyFill="1" applyBorder="1" applyAlignment="1">
      <alignment horizontal="center" wrapText="1"/>
    </xf>
    <xf numFmtId="0" fontId="0" fillId="11" borderId="0" xfId="0" applyFill="1"/>
    <xf numFmtId="168" fontId="0" fillId="11" borderId="0" xfId="0" applyNumberFormat="1" applyFill="1" applyAlignment="1">
      <alignment horizontal="center"/>
    </xf>
    <xf numFmtId="0" fontId="2" fillId="11" borderId="0" xfId="0" applyFont="1" applyFill="1"/>
    <xf numFmtId="0" fontId="22" fillId="0" borderId="0" xfId="0" applyFont="1"/>
    <xf numFmtId="7" fontId="0" fillId="0" borderId="11" xfId="0" applyNumberFormat="1" applyBorder="1" applyAlignment="1">
      <alignment horizontal="center"/>
    </xf>
    <xf numFmtId="0" fontId="0" fillId="9" borderId="0" xfId="0" applyFill="1" applyBorder="1"/>
    <xf numFmtId="166" fontId="0" fillId="9" borderId="0" xfId="0" applyNumberFormat="1" applyFill="1" applyBorder="1"/>
    <xf numFmtId="0" fontId="0" fillId="0" borderId="8" xfId="0" applyBorder="1"/>
    <xf numFmtId="165" fontId="0" fillId="0" borderId="8" xfId="0" applyNumberFormat="1" applyBorder="1" applyAlignment="1">
      <alignment horizontal="center"/>
    </xf>
    <xf numFmtId="166" fontId="0" fillId="9" borderId="8" xfId="0" applyNumberFormat="1" applyFill="1" applyBorder="1"/>
    <xf numFmtId="7" fontId="0" fillId="0" borderId="9" xfId="0" applyNumberFormat="1" applyBorder="1" applyAlignment="1">
      <alignment horizontal="center"/>
    </xf>
    <xf numFmtId="0" fontId="0" fillId="10" borderId="0" xfId="0" applyFill="1" applyBorder="1" applyAlignment="1">
      <alignment horizontal="center"/>
    </xf>
    <xf numFmtId="0" fontId="0" fillId="10" borderId="8" xfId="0" applyFill="1" applyBorder="1" applyAlignment="1">
      <alignment horizontal="center"/>
    </xf>
    <xf numFmtId="166" fontId="0" fillId="0" borderId="7" xfId="0" applyNumberFormat="1" applyBorder="1" applyAlignment="1">
      <alignment horizontal="center"/>
    </xf>
    <xf numFmtId="166" fontId="0" fillId="0" borderId="9" xfId="0" applyNumberFormat="1" applyBorder="1" applyAlignment="1">
      <alignment horizontal="center"/>
    </xf>
    <xf numFmtId="166" fontId="0" fillId="0" borderId="8" xfId="0" applyNumberFormat="1" applyBorder="1" applyAlignment="1">
      <alignment horizontal="center"/>
    </xf>
    <xf numFmtId="166" fontId="0" fillId="6" borderId="10" xfId="0" applyNumberFormat="1" applyFill="1" applyBorder="1" applyAlignment="1">
      <alignment horizontal="center"/>
    </xf>
    <xf numFmtId="166" fontId="0" fillId="0" borderId="10" xfId="0" applyNumberFormat="1" applyBorder="1" applyAlignment="1">
      <alignment horizontal="center"/>
    </xf>
    <xf numFmtId="166" fontId="0" fillId="0" borderId="11" xfId="0" applyNumberFormat="1" applyBorder="1" applyAlignment="1">
      <alignment horizontal="center"/>
    </xf>
    <xf numFmtId="166" fontId="0" fillId="0" borderId="0" xfId="0" applyNumberFormat="1" applyBorder="1" applyAlignment="1">
      <alignment horizontal="center"/>
    </xf>
    <xf numFmtId="166" fontId="0" fillId="6" borderId="7" xfId="0" applyNumberFormat="1" applyFill="1" applyBorder="1" applyAlignment="1">
      <alignment horizontal="center"/>
    </xf>
    <xf numFmtId="166" fontId="10" fillId="0" borderId="0" xfId="0" applyNumberFormat="1" applyFont="1" applyAlignment="1">
      <alignment horizontal="center"/>
    </xf>
    <xf numFmtId="166" fontId="0" fillId="0" borderId="5" xfId="0" applyNumberFormat="1" applyBorder="1" applyAlignment="1">
      <alignment horizontal="center"/>
    </xf>
    <xf numFmtId="166" fontId="0" fillId="5" borderId="1" xfId="0" applyNumberFormat="1" applyFill="1" applyBorder="1" applyAlignment="1">
      <alignment horizontal="center"/>
    </xf>
    <xf numFmtId="3" fontId="0" fillId="0" borderId="0" xfId="0" applyNumberFormat="1" applyAlignment="1">
      <alignment horizontal="center"/>
    </xf>
    <xf numFmtId="0" fontId="26" fillId="6" borderId="0" xfId="0" applyFont="1" applyFill="1"/>
    <xf numFmtId="0" fontId="0" fillId="10" borderId="10" xfId="0" applyFill="1" applyBorder="1" applyAlignment="1">
      <alignment horizontal="center"/>
    </xf>
    <xf numFmtId="0" fontId="0" fillId="10" borderId="11" xfId="0" applyFill="1" applyBorder="1" applyAlignment="1">
      <alignment horizontal="center"/>
    </xf>
    <xf numFmtId="0" fontId="0" fillId="10" borderId="7" xfId="0" applyFill="1" applyBorder="1" applyAlignment="1">
      <alignment horizontal="center"/>
    </xf>
    <xf numFmtId="0" fontId="0" fillId="10" borderId="9" xfId="0" applyFill="1" applyBorder="1" applyAlignment="1">
      <alignment horizontal="center"/>
    </xf>
    <xf numFmtId="0" fontId="29" fillId="0" borderId="4" xfId="0" applyFont="1" applyBorder="1" applyAlignment="1">
      <alignment horizontal="center"/>
    </xf>
    <xf numFmtId="0" fontId="29" fillId="0" borderId="10" xfId="0" applyFont="1" applyBorder="1" applyAlignment="1">
      <alignment horizontal="center"/>
    </xf>
    <xf numFmtId="0" fontId="29" fillId="0" borderId="7" xfId="0" applyFont="1" applyBorder="1" applyAlignment="1">
      <alignment horizontal="center"/>
    </xf>
    <xf numFmtId="166" fontId="0" fillId="0" borderId="12" xfId="0" applyNumberFormat="1" applyBorder="1" applyAlignment="1">
      <alignment horizontal="center"/>
    </xf>
    <xf numFmtId="0" fontId="2" fillId="0" borderId="24" xfId="0" applyFont="1" applyBorder="1"/>
    <xf numFmtId="0" fontId="2" fillId="0" borderId="25" xfId="0" applyFont="1" applyBorder="1" applyAlignment="1">
      <alignment horizontal="center"/>
    </xf>
    <xf numFmtId="0" fontId="2" fillId="0" borderId="26" xfId="0" applyFont="1" applyBorder="1" applyAlignment="1">
      <alignment horizontal="center"/>
    </xf>
    <xf numFmtId="0" fontId="0" fillId="0" borderId="27" xfId="0" applyBorder="1"/>
    <xf numFmtId="166" fontId="0" fillId="0" borderId="14" xfId="0" applyNumberFormat="1" applyBorder="1" applyAlignment="1">
      <alignment horizontal="center"/>
    </xf>
    <xf numFmtId="0" fontId="0" fillId="0" borderId="28" xfId="0" applyBorder="1"/>
    <xf numFmtId="166" fontId="0" fillId="0" borderId="16" xfId="0" applyNumberFormat="1" applyBorder="1" applyAlignment="1">
      <alignment horizontal="center"/>
    </xf>
    <xf numFmtId="166" fontId="0" fillId="0" borderId="17" xfId="0" applyNumberFormat="1" applyBorder="1" applyAlignment="1">
      <alignment horizontal="center"/>
    </xf>
    <xf numFmtId="168" fontId="10" fillId="4" borderId="0" xfId="0" applyNumberFormat="1" applyFont="1" applyFill="1" applyAlignment="1">
      <alignment horizontal="center"/>
    </xf>
    <xf numFmtId="166" fontId="2" fillId="5" borderId="3" xfId="0" applyNumberFormat="1" applyFont="1" applyFill="1" applyBorder="1" applyAlignment="1">
      <alignment horizontal="center"/>
    </xf>
    <xf numFmtId="3" fontId="0" fillId="6" borderId="3" xfId="0" applyNumberFormat="1" applyFill="1" applyBorder="1" applyAlignment="1" applyProtection="1">
      <alignment horizontal="center"/>
    </xf>
    <xf numFmtId="166" fontId="2" fillId="0" borderId="5" xfId="0" applyNumberFormat="1" applyFont="1" applyBorder="1" applyAlignment="1">
      <alignment horizontal="center"/>
    </xf>
    <xf numFmtId="166" fontId="2" fillId="0" borderId="7" xfId="0" applyNumberFormat="1" applyFont="1" applyBorder="1" applyAlignment="1">
      <alignment horizontal="center"/>
    </xf>
    <xf numFmtId="166" fontId="2" fillId="0" borderId="9" xfId="0" applyNumberFormat="1" applyFont="1" applyBorder="1" applyAlignment="1">
      <alignment horizontal="center"/>
    </xf>
    <xf numFmtId="166" fontId="2" fillId="0" borderId="8" xfId="0" applyNumberFormat="1" applyFont="1" applyBorder="1" applyAlignment="1">
      <alignment horizontal="center"/>
    </xf>
    <xf numFmtId="166" fontId="30" fillId="0" borderId="0" xfId="0" applyNumberFormat="1" applyFont="1" applyAlignment="1">
      <alignment horizontal="center"/>
    </xf>
    <xf numFmtId="3" fontId="0" fillId="4" borderId="3" xfId="0" applyNumberFormat="1" applyFill="1" applyBorder="1" applyAlignment="1" applyProtection="1">
      <alignment horizontal="center"/>
    </xf>
    <xf numFmtId="166" fontId="0" fillId="12" borderId="0" xfId="0" applyNumberFormat="1" applyFill="1" applyAlignment="1">
      <alignment horizontal="center"/>
    </xf>
    <xf numFmtId="0" fontId="0" fillId="0" borderId="11" xfId="0" applyBorder="1" applyAlignment="1">
      <alignment horizontal="center"/>
    </xf>
    <xf numFmtId="0" fontId="0" fillId="12" borderId="0" xfId="0" applyFill="1"/>
    <xf numFmtId="0" fontId="31" fillId="0" borderId="0" xfId="0" applyFont="1"/>
    <xf numFmtId="0" fontId="32" fillId="0" borderId="0" xfId="0" applyFont="1"/>
    <xf numFmtId="0" fontId="27" fillId="0" borderId="0" xfId="0" applyFont="1"/>
    <xf numFmtId="168" fontId="10" fillId="6" borderId="0" xfId="0" applyNumberFormat="1" applyFont="1" applyFill="1" applyAlignment="1">
      <alignment horizontal="center"/>
    </xf>
    <xf numFmtId="0" fontId="0" fillId="0" borderId="1" xfId="0" applyBorder="1"/>
    <xf numFmtId="0" fontId="0" fillId="0" borderId="2" xfId="0" applyBorder="1"/>
    <xf numFmtId="166" fontId="2" fillId="0" borderId="21" xfId="0" applyNumberFormat="1" applyFont="1" applyBorder="1" applyAlignment="1">
      <alignment horizontal="center"/>
    </xf>
    <xf numFmtId="166" fontId="2" fillId="0" borderId="23" xfId="0" applyNumberFormat="1" applyFont="1" applyBorder="1" applyAlignment="1">
      <alignment horizontal="center"/>
    </xf>
    <xf numFmtId="0" fontId="0" fillId="10" borderId="10" xfId="0" applyFill="1" applyBorder="1"/>
    <xf numFmtId="0" fontId="33" fillId="0" borderId="0" xfId="0" applyFont="1"/>
    <xf numFmtId="0" fontId="2" fillId="7" borderId="21" xfId="0" applyFont="1" applyFill="1" applyBorder="1"/>
    <xf numFmtId="3" fontId="0" fillId="7" borderId="29" xfId="0" applyNumberFormat="1" applyFill="1" applyBorder="1" applyAlignment="1" applyProtection="1">
      <alignment horizontal="center"/>
    </xf>
    <xf numFmtId="3" fontId="2" fillId="7" borderId="29" xfId="0" applyNumberFormat="1" applyFont="1" applyFill="1" applyBorder="1" applyAlignment="1" applyProtection="1">
      <alignment horizontal="center"/>
    </xf>
    <xf numFmtId="0" fontId="29" fillId="0" borderId="0" xfId="0" applyFont="1" applyFill="1" applyBorder="1" applyAlignment="1">
      <alignment horizontal="left"/>
    </xf>
    <xf numFmtId="9" fontId="34" fillId="6" borderId="0" xfId="0" applyNumberFormat="1" applyFont="1" applyFill="1" applyAlignment="1">
      <alignment horizontal="left"/>
    </xf>
    <xf numFmtId="8" fontId="0" fillId="0" borderId="3" xfId="0" applyNumberFormat="1" applyBorder="1" applyAlignment="1">
      <alignment horizontal="center"/>
    </xf>
    <xf numFmtId="0" fontId="0" fillId="0" borderId="3" xfId="0" applyBorder="1" applyAlignment="1">
      <alignment horizontal="center"/>
    </xf>
    <xf numFmtId="0" fontId="0" fillId="0" borderId="4"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8" fontId="0" fillId="8" borderId="3" xfId="0" applyNumberFormat="1" applyFont="1" applyFill="1" applyBorder="1" applyAlignment="1">
      <alignment horizontal="center" vertical="center"/>
    </xf>
    <xf numFmtId="8" fontId="0" fillId="8" borderId="2" xfId="0" applyNumberFormat="1" applyFont="1" applyFill="1" applyBorder="1" applyAlignment="1">
      <alignment horizontal="center" vertical="center"/>
    </xf>
    <xf numFmtId="0" fontId="0" fillId="5" borderId="0" xfId="0" applyFill="1" applyBorder="1"/>
    <xf numFmtId="8" fontId="0" fillId="5" borderId="0" xfId="0" applyNumberFormat="1" applyFill="1" applyBorder="1"/>
    <xf numFmtId="8" fontId="0" fillId="5" borderId="8" xfId="0" applyNumberFormat="1" applyFill="1" applyBorder="1"/>
    <xf numFmtId="7" fontId="35" fillId="5" borderId="1" xfId="1" applyNumberFormat="1" applyFont="1" applyFill="1" applyBorder="1" applyAlignment="1">
      <alignment horizontal="center" wrapText="1"/>
    </xf>
    <xf numFmtId="7" fontId="35" fillId="5" borderId="1" xfId="1" applyNumberFormat="1" applyFont="1" applyFill="1" applyBorder="1" applyAlignment="1">
      <alignment horizontal="center"/>
    </xf>
    <xf numFmtId="7" fontId="35" fillId="5" borderId="3" xfId="1" applyNumberFormat="1" applyFont="1" applyFill="1" applyBorder="1" applyAlignment="1">
      <alignment horizontal="center" wrapText="1"/>
    </xf>
    <xf numFmtId="3" fontId="35" fillId="5" borderId="3" xfId="1" applyNumberFormat="1" applyFont="1" applyFill="1" applyBorder="1" applyAlignment="1">
      <alignment horizontal="center" vertical="center" wrapText="1"/>
    </xf>
    <xf numFmtId="3" fontId="35" fillId="5" borderId="3" xfId="1" applyNumberFormat="1" applyFont="1" applyFill="1" applyBorder="1" applyAlignment="1">
      <alignment horizontal="center" wrapText="1"/>
    </xf>
    <xf numFmtId="3" fontId="4" fillId="0" borderId="12" xfId="1" applyNumberFormat="1" applyFont="1" applyFill="1" applyBorder="1" applyAlignment="1">
      <alignment horizontal="center" vertical="center" wrapText="1"/>
    </xf>
    <xf numFmtId="3" fontId="4" fillId="0" borderId="12" xfId="1" applyNumberFormat="1" applyFont="1" applyFill="1" applyBorder="1" applyAlignment="1">
      <alignment horizontal="center" wrapText="1"/>
    </xf>
    <xf numFmtId="0" fontId="0" fillId="0" borderId="12" xfId="0" applyBorder="1"/>
    <xf numFmtId="0" fontId="0" fillId="0" borderId="12" xfId="0" applyBorder="1" applyAlignment="1">
      <alignment horizontal="center"/>
    </xf>
    <xf numFmtId="3" fontId="0" fillId="6" borderId="12" xfId="1" applyNumberFormat="1" applyFont="1" applyFill="1" applyBorder="1" applyAlignment="1">
      <alignment horizontal="center" vertical="center" wrapText="1"/>
    </xf>
    <xf numFmtId="9" fontId="0" fillId="6" borderId="12" xfId="0" applyNumberFormat="1" applyFont="1" applyFill="1" applyBorder="1"/>
    <xf numFmtId="0" fontId="0" fillId="6" borderId="12" xfId="0" applyFill="1" applyBorder="1" applyAlignment="1">
      <alignment horizontal="center"/>
    </xf>
    <xf numFmtId="0" fontId="2" fillId="8" borderId="0" xfId="0" applyFont="1" applyFill="1"/>
    <xf numFmtId="0" fontId="0" fillId="8" borderId="0" xfId="0" applyFont="1" applyFill="1"/>
    <xf numFmtId="3" fontId="0" fillId="8" borderId="12" xfId="1" applyNumberFormat="1" applyFont="1" applyFill="1" applyBorder="1" applyAlignment="1">
      <alignment horizontal="center" vertical="center" wrapText="1"/>
    </xf>
    <xf numFmtId="9" fontId="0" fillId="8" borderId="12" xfId="0" applyNumberFormat="1" applyFont="1" applyFill="1" applyBorder="1"/>
    <xf numFmtId="0" fontId="0" fillId="8" borderId="12" xfId="0" applyFont="1" applyFill="1" applyBorder="1" applyAlignment="1">
      <alignment horizontal="center"/>
    </xf>
    <xf numFmtId="0" fontId="2" fillId="8" borderId="0" xfId="0" applyFont="1" applyFill="1" applyBorder="1"/>
    <xf numFmtId="0" fontId="0" fillId="8" borderId="0" xfId="0" applyFont="1" applyFill="1" applyBorder="1"/>
    <xf numFmtId="169" fontId="0" fillId="0" borderId="0" xfId="12" applyNumberFormat="1" applyFont="1"/>
    <xf numFmtId="8" fontId="0" fillId="0" borderId="0" xfId="0" applyNumberFormat="1"/>
    <xf numFmtId="170" fontId="0" fillId="0" borderId="0" xfId="0" applyNumberFormat="1"/>
    <xf numFmtId="43" fontId="0" fillId="0" borderId="0" xfId="0" applyNumberFormat="1"/>
    <xf numFmtId="170" fontId="2" fillId="0" borderId="0" xfId="0" applyNumberFormat="1" applyFont="1"/>
    <xf numFmtId="0" fontId="0" fillId="0" borderId="0" xfId="0" applyFill="1" applyBorder="1" applyAlignment="1">
      <alignment horizontal="center"/>
    </xf>
    <xf numFmtId="0" fontId="2" fillId="0" borderId="0" xfId="0" applyFont="1" applyAlignment="1">
      <alignment wrapText="1"/>
    </xf>
    <xf numFmtId="0" fontId="0" fillId="0" borderId="0" xfId="0" applyFill="1"/>
    <xf numFmtId="0" fontId="34" fillId="0" borderId="0" xfId="0" applyFont="1"/>
    <xf numFmtId="8" fontId="7" fillId="0" borderId="0" xfId="0" applyNumberFormat="1" applyFont="1"/>
    <xf numFmtId="0" fontId="37" fillId="0" borderId="0" xfId="0" applyFont="1"/>
    <xf numFmtId="0" fontId="28" fillId="0" borderId="0" xfId="0" applyFont="1"/>
    <xf numFmtId="0" fontId="39" fillId="0" borderId="0" xfId="0" applyFont="1" applyAlignment="1">
      <alignment vertical="center"/>
    </xf>
    <xf numFmtId="0" fontId="40" fillId="6" borderId="0" xfId="0" applyFont="1" applyFill="1" applyAlignment="1">
      <alignment vertical="center"/>
    </xf>
    <xf numFmtId="0" fontId="0" fillId="0" borderId="10" xfId="0" applyFill="1" applyBorder="1"/>
    <xf numFmtId="3" fontId="0" fillId="0" borderId="3" xfId="0" applyNumberFormat="1" applyFill="1" applyBorder="1" applyAlignment="1" applyProtection="1">
      <alignment horizontal="center"/>
    </xf>
    <xf numFmtId="0" fontId="0" fillId="0" borderId="16" xfId="0"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7" fillId="0" borderId="0" xfId="0" applyFont="1" applyAlignment="1">
      <alignment horizontal="center"/>
    </xf>
    <xf numFmtId="8" fontId="37" fillId="0" borderId="0" xfId="0" applyNumberFormat="1" applyFont="1"/>
    <xf numFmtId="0" fontId="41" fillId="6" borderId="0" xfId="0" applyFont="1" applyFill="1"/>
    <xf numFmtId="0" fontId="41" fillId="0" borderId="0" xfId="0" applyFont="1"/>
    <xf numFmtId="3" fontId="0" fillId="5" borderId="3" xfId="0" applyNumberFormat="1" applyFill="1" applyBorder="1" applyAlignment="1" applyProtection="1">
      <alignment horizontal="center"/>
    </xf>
    <xf numFmtId="0" fontId="37" fillId="7" borderId="0" xfId="0" applyFont="1" applyFill="1"/>
    <xf numFmtId="169" fontId="37" fillId="7" borderId="0" xfId="12" applyNumberFormat="1" applyFont="1" applyFill="1" applyAlignment="1">
      <alignment horizontal="left"/>
    </xf>
    <xf numFmtId="0" fontId="0" fillId="8" borderId="12" xfId="0" applyFill="1" applyBorder="1" applyAlignment="1">
      <alignment horizontal="center"/>
    </xf>
    <xf numFmtId="0" fontId="0" fillId="0" borderId="33" xfId="0" applyBorder="1"/>
    <xf numFmtId="0" fontId="2" fillId="0" borderId="34" xfId="0" applyFont="1" applyBorder="1"/>
    <xf numFmtId="0" fontId="2" fillId="0" borderId="35" xfId="0" applyFont="1" applyBorder="1" applyAlignment="1">
      <alignment horizontal="center"/>
    </xf>
    <xf numFmtId="0" fontId="2" fillId="0" borderId="36" xfId="0" applyFont="1" applyBorder="1" applyAlignment="1">
      <alignment horizontal="center"/>
    </xf>
    <xf numFmtId="8" fontId="34" fillId="0" borderId="0" xfId="0" applyNumberFormat="1" applyFont="1"/>
    <xf numFmtId="8" fontId="7" fillId="0" borderId="12" xfId="0" applyNumberFormat="1" applyFont="1" applyBorder="1" applyAlignment="1">
      <alignment wrapText="1"/>
    </xf>
    <xf numFmtId="0" fontId="7" fillId="0" borderId="12" xfId="0" applyFont="1" applyBorder="1" applyAlignment="1">
      <alignment wrapText="1"/>
    </xf>
    <xf numFmtId="49" fontId="7" fillId="0" borderId="12" xfId="0" applyNumberFormat="1" applyFont="1" applyBorder="1"/>
    <xf numFmtId="171" fontId="34" fillId="0" borderId="12" xfId="12" applyNumberFormat="1" applyFont="1" applyBorder="1"/>
    <xf numFmtId="0" fontId="7" fillId="0" borderId="12" xfId="0" applyFont="1" applyBorder="1"/>
    <xf numFmtId="0" fontId="34" fillId="0" borderId="12" xfId="0" applyFont="1" applyBorder="1" applyAlignment="1">
      <alignment wrapText="1"/>
    </xf>
    <xf numFmtId="43" fontId="34" fillId="0" borderId="12" xfId="12" applyFont="1" applyFill="1" applyBorder="1"/>
    <xf numFmtId="0" fontId="34" fillId="0" borderId="12" xfId="0" applyFont="1" applyBorder="1"/>
    <xf numFmtId="169" fontId="34" fillId="0" borderId="12" xfId="12" applyNumberFormat="1" applyFont="1" applyFill="1" applyBorder="1"/>
    <xf numFmtId="0" fontId="34" fillId="0" borderId="0" xfId="0" applyFont="1" applyBorder="1"/>
    <xf numFmtId="169" fontId="34" fillId="0" borderId="12" xfId="12" applyNumberFormat="1" applyFont="1" applyBorder="1"/>
    <xf numFmtId="171" fontId="34" fillId="0" borderId="12" xfId="0" applyNumberFormat="1" applyFont="1" applyBorder="1"/>
    <xf numFmtId="171" fontId="7" fillId="0" borderId="12" xfId="0" applyNumberFormat="1" applyFont="1" applyBorder="1"/>
    <xf numFmtId="0" fontId="7" fillId="14" borderId="12" xfId="0" applyFont="1" applyFill="1" applyBorder="1" applyAlignment="1">
      <alignment wrapText="1"/>
    </xf>
    <xf numFmtId="0" fontId="7" fillId="13" borderId="12" xfId="0" applyFont="1" applyFill="1" applyBorder="1" applyAlignment="1">
      <alignment wrapText="1"/>
    </xf>
    <xf numFmtId="171" fontId="7" fillId="13" borderId="12" xfId="12" applyNumberFormat="1" applyFont="1" applyFill="1" applyBorder="1"/>
    <xf numFmtId="165" fontId="0" fillId="13" borderId="12" xfId="0" applyNumberFormat="1" applyFill="1" applyBorder="1" applyAlignment="1">
      <alignment horizontal="center"/>
    </xf>
    <xf numFmtId="49" fontId="37" fillId="0" borderId="0" xfId="0" applyNumberFormat="1" applyFont="1" applyFill="1" applyBorder="1"/>
    <xf numFmtId="0" fontId="7" fillId="0" borderId="0" xfId="0" applyFont="1" applyBorder="1" applyAlignment="1">
      <alignment wrapText="1"/>
    </xf>
    <xf numFmtId="171" fontId="7" fillId="0" borderId="0" xfId="0" applyNumberFormat="1" applyFont="1" applyBorder="1"/>
    <xf numFmtId="0" fontId="34" fillId="0" borderId="0" xfId="0" applyFont="1" applyBorder="1" applyAlignment="1">
      <alignment wrapText="1"/>
    </xf>
    <xf numFmtId="43" fontId="34" fillId="0" borderId="0" xfId="12" applyFont="1" applyFill="1" applyBorder="1"/>
    <xf numFmtId="0" fontId="42" fillId="0" borderId="0" xfId="0" applyFont="1"/>
    <xf numFmtId="171" fontId="7" fillId="0" borderId="12" xfId="0" applyNumberFormat="1" applyFont="1" applyFill="1" applyBorder="1"/>
    <xf numFmtId="171" fontId="7" fillId="14" borderId="12" xfId="0" applyNumberFormat="1" applyFont="1" applyFill="1" applyBorder="1"/>
    <xf numFmtId="171" fontId="34" fillId="0" borderId="0" xfId="0" applyNumberFormat="1" applyFont="1" applyBorder="1"/>
    <xf numFmtId="171" fontId="34" fillId="13" borderId="12" xfId="0" applyNumberFormat="1" applyFont="1" applyFill="1" applyBorder="1"/>
    <xf numFmtId="49" fontId="7" fillId="0" borderId="0" xfId="0" applyNumberFormat="1" applyFont="1" applyBorder="1"/>
    <xf numFmtId="171" fontId="7" fillId="0" borderId="0" xfId="0" applyNumberFormat="1" applyFont="1" applyFill="1" applyBorder="1"/>
    <xf numFmtId="165" fontId="0" fillId="13" borderId="16" xfId="0" applyNumberFormat="1" applyFill="1" applyBorder="1" applyAlignment="1">
      <alignment horizontal="center"/>
    </xf>
    <xf numFmtId="0" fontId="7" fillId="0" borderId="0" xfId="0" applyFont="1"/>
    <xf numFmtId="0" fontId="7" fillId="0" borderId="0" xfId="0" applyFont="1" applyAlignment="1">
      <alignment horizontal="left"/>
    </xf>
    <xf numFmtId="0" fontId="0" fillId="0" borderId="0" xfId="0" applyFont="1" applyAlignment="1">
      <alignment horizontal="left"/>
    </xf>
    <xf numFmtId="0" fontId="38" fillId="0" borderId="0" xfId="0" applyFont="1"/>
    <xf numFmtId="165" fontId="0" fillId="0" borderId="19" xfId="0" applyNumberFormat="1" applyBorder="1" applyAlignment="1">
      <alignment horizontal="center"/>
    </xf>
    <xf numFmtId="165" fontId="0" fillId="0" borderId="20" xfId="0" applyNumberFormat="1" applyBorder="1" applyAlignment="1">
      <alignment horizontal="center"/>
    </xf>
    <xf numFmtId="165" fontId="0" fillId="0" borderId="12" xfId="0" applyNumberFormat="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165" fontId="0" fillId="0" borderId="17" xfId="0" applyNumberFormat="1" applyBorder="1" applyAlignment="1">
      <alignment horizontal="center"/>
    </xf>
    <xf numFmtId="165" fontId="0" fillId="6" borderId="10" xfId="0" applyNumberFormat="1" applyFill="1" applyBorder="1" applyAlignment="1">
      <alignment horizontal="center"/>
    </xf>
    <xf numFmtId="165" fontId="0" fillId="0" borderId="10" xfId="0" applyNumberFormat="1" applyBorder="1" applyAlignment="1">
      <alignment horizontal="center"/>
    </xf>
    <xf numFmtId="165" fontId="0" fillId="0" borderId="11" xfId="0" applyNumberFormat="1" applyBorder="1" applyAlignment="1">
      <alignment horizontal="center"/>
    </xf>
    <xf numFmtId="165" fontId="0" fillId="6" borderId="7" xfId="0" applyNumberFormat="1" applyFill="1" applyBorder="1" applyAlignment="1">
      <alignment horizontal="center"/>
    </xf>
    <xf numFmtId="165" fontId="0" fillId="0" borderId="7" xfId="0" applyNumberFormat="1" applyBorder="1" applyAlignment="1">
      <alignment horizontal="center"/>
    </xf>
    <xf numFmtId="165" fontId="0" fillId="0" borderId="9" xfId="0" applyNumberFormat="1" applyBorder="1" applyAlignment="1">
      <alignment horizontal="center"/>
    </xf>
    <xf numFmtId="0" fontId="40" fillId="16" borderId="0" xfId="0" applyFont="1" applyFill="1" applyAlignment="1">
      <alignment vertical="center"/>
    </xf>
    <xf numFmtId="165" fontId="0" fillId="0" borderId="0" xfId="0" applyNumberFormat="1" applyAlignment="1">
      <alignment horizontal="left"/>
    </xf>
    <xf numFmtId="0" fontId="0" fillId="0" borderId="0" xfId="0" applyFill="1" applyBorder="1"/>
    <xf numFmtId="0" fontId="0" fillId="16" borderId="27" xfId="0" applyFill="1" applyBorder="1" applyAlignment="1" applyProtection="1">
      <alignment horizontal="center"/>
      <protection locked="0"/>
    </xf>
    <xf numFmtId="0" fontId="0" fillId="16" borderId="12" xfId="0" applyFill="1" applyBorder="1" applyAlignment="1" applyProtection="1">
      <alignment horizontal="center"/>
      <protection locked="0"/>
    </xf>
    <xf numFmtId="0" fontId="0" fillId="16" borderId="28" xfId="0" applyFill="1" applyBorder="1" applyAlignment="1" applyProtection="1">
      <alignment horizontal="center"/>
      <protection locked="0"/>
    </xf>
    <xf numFmtId="0" fontId="0" fillId="16" borderId="16" xfId="0" applyFill="1" applyBorder="1" applyAlignment="1" applyProtection="1">
      <alignment horizontal="center"/>
      <protection locked="0"/>
    </xf>
    <xf numFmtId="168" fontId="10" fillId="16" borderId="0" xfId="0" applyNumberFormat="1" applyFont="1" applyFill="1" applyAlignment="1" applyProtection="1">
      <alignment horizontal="center"/>
      <protection locked="0"/>
    </xf>
    <xf numFmtId="165" fontId="0" fillId="6" borderId="12" xfId="0" applyNumberFormat="1" applyFont="1" applyFill="1" applyBorder="1"/>
    <xf numFmtId="165" fontId="0" fillId="6" borderId="12" xfId="1" applyNumberFormat="1" applyFont="1" applyFill="1" applyBorder="1" applyAlignment="1">
      <alignment horizontal="center" vertical="center" wrapText="1"/>
    </xf>
    <xf numFmtId="165" fontId="0" fillId="6" borderId="12" xfId="1" applyNumberFormat="1" applyFont="1" applyFill="1" applyBorder="1" applyAlignment="1">
      <alignment horizontal="center" wrapText="1"/>
    </xf>
    <xf numFmtId="165" fontId="0" fillId="6" borderId="12" xfId="0" applyNumberFormat="1" applyFill="1" applyBorder="1" applyAlignment="1">
      <alignment horizontal="center"/>
    </xf>
    <xf numFmtId="165" fontId="2" fillId="6" borderId="12" xfId="0" applyNumberFormat="1" applyFont="1" applyFill="1" applyBorder="1" applyAlignment="1">
      <alignment horizontal="center"/>
    </xf>
    <xf numFmtId="165" fontId="0" fillId="8" borderId="12" xfId="0" applyNumberFormat="1" applyFont="1" applyFill="1" applyBorder="1"/>
    <xf numFmtId="165" fontId="0" fillId="8" borderId="12" xfId="1" applyNumberFormat="1" applyFont="1" applyFill="1" applyBorder="1" applyAlignment="1">
      <alignment horizontal="center" vertical="center" wrapText="1"/>
    </xf>
    <xf numFmtId="165" fontId="0" fillId="8" borderId="12" xfId="1" applyNumberFormat="1" applyFont="1" applyFill="1" applyBorder="1" applyAlignment="1">
      <alignment horizontal="center" wrapText="1"/>
    </xf>
    <xf numFmtId="165" fontId="0" fillId="8" borderId="12" xfId="0" applyNumberFormat="1" applyFont="1" applyFill="1" applyBorder="1" applyAlignment="1">
      <alignment horizontal="center"/>
    </xf>
    <xf numFmtId="165" fontId="2" fillId="8" borderId="12" xfId="0" applyNumberFormat="1" applyFont="1" applyFill="1" applyBorder="1" applyAlignment="1">
      <alignment horizontal="center"/>
    </xf>
    <xf numFmtId="165" fontId="0" fillId="6" borderId="12" xfId="0" applyNumberFormat="1" applyFont="1" applyFill="1" applyBorder="1" applyAlignment="1">
      <alignment horizontal="center"/>
    </xf>
    <xf numFmtId="165" fontId="0" fillId="6" borderId="12" xfId="11" applyNumberFormat="1" applyFont="1" applyFill="1" applyBorder="1"/>
    <xf numFmtId="165" fontId="0" fillId="6" borderId="12" xfId="11" applyNumberFormat="1" applyFont="1" applyFill="1" applyBorder="1" applyAlignment="1">
      <alignment horizontal="center"/>
    </xf>
    <xf numFmtId="165" fontId="2" fillId="6" borderId="12" xfId="0" applyNumberFormat="1" applyFont="1" applyFill="1" applyBorder="1"/>
    <xf numFmtId="165" fontId="0" fillId="8" borderId="12" xfId="11" applyNumberFormat="1" applyFont="1" applyFill="1" applyBorder="1"/>
    <xf numFmtId="165" fontId="0" fillId="8" borderId="12" xfId="11" applyNumberFormat="1" applyFont="1" applyFill="1" applyBorder="1" applyAlignment="1">
      <alignment horizontal="center"/>
    </xf>
    <xf numFmtId="165" fontId="2" fillId="8" borderId="12" xfId="0" applyNumberFormat="1" applyFont="1" applyFill="1" applyBorder="1"/>
    <xf numFmtId="165" fontId="0" fillId="6" borderId="0" xfId="0" applyNumberFormat="1" applyFont="1" applyFill="1"/>
    <xf numFmtId="165" fontId="0" fillId="6" borderId="0" xfId="1" applyNumberFormat="1" applyFont="1" applyFill="1" applyBorder="1" applyAlignment="1">
      <alignment horizontal="center" vertical="center" wrapText="1"/>
    </xf>
    <xf numFmtId="165" fontId="0" fillId="11" borderId="0" xfId="0" applyNumberFormat="1" applyFill="1" applyAlignment="1">
      <alignment horizontal="center"/>
    </xf>
    <xf numFmtId="165" fontId="0" fillId="0" borderId="0" xfId="0" applyNumberFormat="1"/>
    <xf numFmtId="165" fontId="2" fillId="11" borderId="0" xfId="0" applyNumberFormat="1" applyFont="1" applyFill="1"/>
    <xf numFmtId="165" fontId="23" fillId="11" borderId="0" xfId="0" applyNumberFormat="1" applyFont="1" applyFill="1" applyAlignment="1">
      <alignment horizontal="right"/>
    </xf>
    <xf numFmtId="165" fontId="23" fillId="11" borderId="0" xfId="0" applyNumberFormat="1" applyFont="1" applyFill="1" applyAlignment="1">
      <alignment horizontal="left"/>
    </xf>
    <xf numFmtId="165" fontId="0" fillId="11" borderId="0" xfId="0" applyNumberFormat="1" applyFill="1"/>
    <xf numFmtId="165" fontId="0" fillId="11" borderId="0" xfId="0" applyNumberFormat="1" applyFont="1" applyFill="1" applyAlignment="1">
      <alignment horizontal="center"/>
    </xf>
    <xf numFmtId="165" fontId="0" fillId="11" borderId="0" xfId="1" applyNumberFormat="1" applyFont="1" applyFill="1" applyBorder="1" applyAlignment="1">
      <alignment horizontal="center" vertical="center" wrapText="1"/>
    </xf>
    <xf numFmtId="165" fontId="12" fillId="10" borderId="0" xfId="0" applyNumberFormat="1" applyFont="1" applyFill="1"/>
    <xf numFmtId="165" fontId="0" fillId="0" borderId="12" xfId="0" applyNumberFormat="1" applyFill="1" applyBorder="1"/>
    <xf numFmtId="165" fontId="0" fillId="0" borderId="16" xfId="0" applyNumberFormat="1" applyFill="1" applyBorder="1"/>
    <xf numFmtId="5" fontId="0" fillId="0" borderId="14" xfId="0" applyNumberFormat="1" applyBorder="1" applyAlignment="1">
      <alignment horizontal="center"/>
    </xf>
    <xf numFmtId="5" fontId="0" fillId="0" borderId="17" xfId="0" applyNumberFormat="1" applyBorder="1" applyAlignment="1">
      <alignment horizontal="center"/>
    </xf>
    <xf numFmtId="6" fontId="2" fillId="0" borderId="0" xfId="0" applyNumberFormat="1" applyFont="1"/>
    <xf numFmtId="169" fontId="2" fillId="0" borderId="0" xfId="12" applyNumberFormat="1" applyFont="1"/>
    <xf numFmtId="43" fontId="0" fillId="0" borderId="12" xfId="0" applyNumberFormat="1" applyBorder="1"/>
    <xf numFmtId="169" fontId="0" fillId="0" borderId="12" xfId="0" applyNumberFormat="1" applyBorder="1"/>
    <xf numFmtId="43" fontId="0" fillId="0" borderId="14" xfId="0" applyNumberFormat="1" applyBorder="1"/>
    <xf numFmtId="43" fontId="0" fillId="0" borderId="16" xfId="0" applyNumberFormat="1" applyBorder="1"/>
    <xf numFmtId="0" fontId="0" fillId="0" borderId="16" xfId="0" applyBorder="1"/>
    <xf numFmtId="43" fontId="0" fillId="0" borderId="17" xfId="0" applyNumberFormat="1" applyBorder="1"/>
    <xf numFmtId="43" fontId="0" fillId="0" borderId="19" xfId="0" applyNumberFormat="1" applyBorder="1"/>
    <xf numFmtId="0" fontId="0" fillId="0" borderId="19" xfId="0" applyBorder="1"/>
    <xf numFmtId="43" fontId="0" fillId="0" borderId="20" xfId="0" applyNumberFormat="1" applyBorder="1"/>
    <xf numFmtId="0" fontId="2" fillId="0" borderId="35" xfId="0" applyFont="1" applyBorder="1"/>
    <xf numFmtId="0" fontId="2" fillId="0" borderId="36" xfId="0" applyFont="1" applyBorder="1" applyAlignment="1">
      <alignment wrapText="1"/>
    </xf>
    <xf numFmtId="0" fontId="0" fillId="0" borderId="0" xfId="0" applyAlignment="1">
      <alignment wrapText="1"/>
    </xf>
    <xf numFmtId="0" fontId="7" fillId="0" borderId="12" xfId="0" applyFont="1" applyBorder="1" applyAlignment="1">
      <alignment horizontal="center" wrapText="1"/>
    </xf>
    <xf numFmtId="8" fontId="38" fillId="0" borderId="0" xfId="0" applyNumberFormat="1" applyFont="1"/>
    <xf numFmtId="169" fontId="0" fillId="0" borderId="0" xfId="0" applyNumberFormat="1"/>
    <xf numFmtId="6" fontId="0" fillId="17" borderId="12" xfId="0" applyNumberFormat="1" applyFill="1" applyBorder="1"/>
    <xf numFmtId="0" fontId="0" fillId="17" borderId="24" xfId="0" applyFill="1" applyBorder="1"/>
    <xf numFmtId="6" fontId="0" fillId="17" borderId="25" xfId="0" applyNumberFormat="1" applyFill="1" applyBorder="1"/>
    <xf numFmtId="0" fontId="0" fillId="17" borderId="26" xfId="0" applyFill="1" applyBorder="1" applyAlignment="1">
      <alignment wrapText="1"/>
    </xf>
    <xf numFmtId="0" fontId="0" fillId="17" borderId="27" xfId="0" applyFill="1" applyBorder="1"/>
    <xf numFmtId="0" fontId="0" fillId="17" borderId="14" xfId="0" applyFill="1" applyBorder="1" applyAlignment="1">
      <alignment wrapText="1"/>
    </xf>
    <xf numFmtId="0" fontId="0" fillId="17" borderId="28" xfId="0" applyFill="1" applyBorder="1"/>
    <xf numFmtId="6" fontId="0" fillId="17" borderId="16" xfId="0" applyNumberFormat="1" applyFont="1" applyFill="1" applyBorder="1"/>
    <xf numFmtId="6" fontId="0" fillId="17" borderId="16" xfId="0" applyNumberFormat="1" applyFill="1" applyBorder="1"/>
    <xf numFmtId="0" fontId="0" fillId="17" borderId="17" xfId="0" applyFill="1" applyBorder="1" applyAlignment="1">
      <alignment wrapText="1"/>
    </xf>
    <xf numFmtId="0" fontId="2" fillId="0" borderId="0" xfId="0" applyFont="1" applyFill="1"/>
    <xf numFmtId="172" fontId="2" fillId="0" borderId="0" xfId="0" applyNumberFormat="1" applyFont="1" applyFill="1"/>
    <xf numFmtId="0" fontId="2" fillId="0" borderId="0" xfId="0" applyFont="1" applyFill="1" applyAlignment="1">
      <alignment wrapText="1"/>
    </xf>
    <xf numFmtId="0" fontId="0" fillId="14" borderId="4" xfId="0" applyFill="1" applyBorder="1"/>
    <xf numFmtId="0" fontId="0" fillId="14" borderId="5" xfId="0" applyFill="1" applyBorder="1"/>
    <xf numFmtId="0" fontId="0" fillId="14" borderId="6" xfId="0" applyFill="1" applyBorder="1"/>
    <xf numFmtId="0" fontId="0" fillId="14" borderId="10" xfId="0" applyFill="1" applyBorder="1"/>
    <xf numFmtId="0" fontId="0" fillId="14" borderId="0" xfId="0" applyFill="1" applyBorder="1"/>
    <xf numFmtId="0" fontId="0" fillId="14" borderId="11" xfId="0" applyFill="1" applyBorder="1"/>
    <xf numFmtId="0" fontId="2" fillId="14" borderId="0" xfId="0" applyFont="1" applyFill="1" applyBorder="1"/>
    <xf numFmtId="0" fontId="0" fillId="14" borderId="7" xfId="0" applyFill="1" applyBorder="1"/>
    <xf numFmtId="6" fontId="0" fillId="14" borderId="8" xfId="0" applyNumberFormat="1" applyFill="1" applyBorder="1"/>
    <xf numFmtId="0" fontId="0" fillId="14" borderId="9" xfId="0" applyFill="1" applyBorder="1"/>
    <xf numFmtId="0" fontId="2" fillId="14" borderId="10" xfId="0" applyFont="1" applyFill="1" applyBorder="1" applyAlignment="1">
      <alignment wrapText="1"/>
    </xf>
    <xf numFmtId="0" fontId="2" fillId="0" borderId="0" xfId="0" applyFont="1" applyAlignment="1">
      <alignment horizontal="left"/>
    </xf>
    <xf numFmtId="171" fontId="34" fillId="0" borderId="12" xfId="12" applyNumberFormat="1" applyFont="1" applyFill="1" applyBorder="1"/>
    <xf numFmtId="169" fontId="0" fillId="0" borderId="14" xfId="12" applyNumberFormat="1" applyFont="1" applyFill="1" applyBorder="1"/>
    <xf numFmtId="0" fontId="0" fillId="0" borderId="0" xfId="0" applyAlignment="1">
      <alignment horizontal="left" vertical="top" wrapText="1"/>
    </xf>
    <xf numFmtId="0" fontId="37" fillId="15" borderId="0" xfId="0" applyFont="1" applyFill="1" applyAlignment="1">
      <alignment horizontal="center"/>
    </xf>
    <xf numFmtId="166" fontId="2" fillId="8" borderId="4"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0"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4" fillId="8" borderId="0" xfId="0" applyFont="1" applyFill="1" applyAlignment="1">
      <alignment horizontal="center" vertical="top" wrapText="1"/>
    </xf>
    <xf numFmtId="0" fontId="0" fillId="0" borderId="0" xfId="0" applyAlignment="1">
      <alignment vertical="top"/>
    </xf>
    <xf numFmtId="166" fontId="2" fillId="8" borderId="5" xfId="0" applyNumberFormat="1" applyFont="1" applyFill="1" applyBorder="1" applyAlignment="1">
      <alignment horizontal="center" vertical="center"/>
    </xf>
    <xf numFmtId="166" fontId="2" fillId="0" borderId="6" xfId="0" applyNumberFormat="1" applyFont="1" applyBorder="1" applyAlignment="1">
      <alignment horizontal="center" vertical="center"/>
    </xf>
    <xf numFmtId="166" fontId="2" fillId="0" borderId="7" xfId="0" applyNumberFormat="1" applyFont="1" applyBorder="1" applyAlignment="1">
      <alignment horizontal="center" vertical="center"/>
    </xf>
    <xf numFmtId="166" fontId="2" fillId="0" borderId="8"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9" borderId="5" xfId="0" applyFill="1" applyBorder="1" applyAlignment="1">
      <alignment horizontal="center" wrapText="1"/>
    </xf>
    <xf numFmtId="0" fontId="0" fillId="9" borderId="0" xfId="0" applyFill="1" applyBorder="1" applyAlignment="1">
      <alignment horizontal="center" wrapText="1"/>
    </xf>
    <xf numFmtId="166" fontId="2" fillId="6" borderId="1" xfId="0" applyNumberFormat="1" applyFont="1" applyFill="1" applyBorder="1" applyAlignment="1">
      <alignment horizontal="center" wrapText="1"/>
    </xf>
    <xf numFmtId="166" fontId="2" fillId="6" borderId="3" xfId="0" applyNumberFormat="1" applyFont="1" applyFill="1" applyBorder="1" applyAlignment="1">
      <alignment horizontal="center" wrapText="1"/>
    </xf>
    <xf numFmtId="0" fontId="2" fillId="13" borderId="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8" xfId="0" applyFont="1" applyFill="1" applyBorder="1" applyAlignment="1">
      <alignment horizontal="center" wrapText="1"/>
    </xf>
    <xf numFmtId="0" fontId="11" fillId="8" borderId="4" xfId="0" applyFont="1" applyFill="1" applyBorder="1" applyAlignment="1">
      <alignment horizontal="center" vertical="center"/>
    </xf>
    <xf numFmtId="0" fontId="0" fillId="8" borderId="7" xfId="0" applyFill="1" applyBorder="1" applyAlignment="1">
      <alignment horizontal="center" vertical="center"/>
    </xf>
    <xf numFmtId="8" fontId="12" fillId="8" borderId="1" xfId="0" applyNumberFormat="1" applyFont="1" applyFill="1" applyBorder="1" applyAlignment="1">
      <alignment horizontal="center" vertical="center"/>
    </xf>
    <xf numFmtId="0" fontId="12" fillId="8" borderId="2" xfId="0" applyFont="1"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0" fillId="5" borderId="4" xfId="0" applyFill="1" applyBorder="1" applyAlignment="1">
      <alignment horizontal="center" wrapText="1"/>
    </xf>
    <xf numFmtId="0" fontId="0" fillId="5" borderId="10" xfId="0" applyFill="1" applyBorder="1" applyAlignment="1">
      <alignment horizontal="center" wrapText="1"/>
    </xf>
    <xf numFmtId="0" fontId="0" fillId="5" borderId="5" xfId="0" applyFill="1" applyBorder="1" applyAlignment="1">
      <alignment wrapText="1"/>
    </xf>
    <xf numFmtId="0" fontId="0" fillId="5" borderId="0" xfId="0" applyFill="1" applyBorder="1" applyAlignment="1">
      <alignment wrapText="1"/>
    </xf>
    <xf numFmtId="0" fontId="0" fillId="0" borderId="1" xfId="0" applyBorder="1" applyAlignment="1">
      <alignment wrapText="1"/>
    </xf>
    <xf numFmtId="0" fontId="0" fillId="0" borderId="3" xfId="0" applyBorder="1" applyAlignment="1">
      <alignment wrapText="1"/>
    </xf>
    <xf numFmtId="8" fontId="10" fillId="8" borderId="5" xfId="0" applyNumberFormat="1" applyFont="1" applyFill="1" applyBorder="1" applyAlignment="1">
      <alignment horizontal="center" vertical="center"/>
    </xf>
    <xf numFmtId="0" fontId="10" fillId="8" borderId="8" xfId="0" applyFont="1" applyFill="1" applyBorder="1" applyAlignment="1">
      <alignment horizontal="center" vertical="center"/>
    </xf>
    <xf numFmtId="8" fontId="10" fillId="8" borderId="6" xfId="0" applyNumberFormat="1" applyFont="1" applyFill="1" applyBorder="1" applyAlignment="1">
      <alignment horizontal="center" vertical="center"/>
    </xf>
    <xf numFmtId="0" fontId="10" fillId="8" borderId="9" xfId="0" applyFont="1" applyFill="1" applyBorder="1" applyAlignment="1">
      <alignment horizontal="center" vertical="center"/>
    </xf>
  </cellXfs>
  <cellStyles count="13">
    <cellStyle name="%" xfId="2"/>
    <cellStyle name="Comma" xfId="12" builtinId="3"/>
    <cellStyle name="Comma 2" xfId="3"/>
    <cellStyle name="Currency" xfId="11" builtinId="4"/>
    <cellStyle name="Normal" xfId="0" builtinId="0"/>
    <cellStyle name="Normal 10 2" xfId="4"/>
    <cellStyle name="Normal 124" xfId="5"/>
    <cellStyle name="Normal 2" xfId="6"/>
    <cellStyle name="Normal 2 6" xfId="7"/>
    <cellStyle name="Normal 3" xfId="1"/>
    <cellStyle name="Normal 4" xfId="8"/>
    <cellStyle name="Normal 61" xfId="9"/>
    <cellStyle name="Normal 8" xfId="10"/>
  </cellStyles>
  <dxfs count="3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1400175</xdr:colOff>
      <xdr:row>22</xdr:row>
      <xdr:rowOff>0</xdr:rowOff>
    </xdr:from>
    <xdr:to>
      <xdr:col>3</xdr:col>
      <xdr:colOff>57150</xdr:colOff>
      <xdr:row>24</xdr:row>
      <xdr:rowOff>190500</xdr:rowOff>
    </xdr:to>
    <xdr:sp macro="" textlink="">
      <xdr:nvSpPr>
        <xdr:cNvPr id="10" name="Oval 9"/>
        <xdr:cNvSpPr/>
      </xdr:nvSpPr>
      <xdr:spPr>
        <a:xfrm>
          <a:off x="2009775" y="3790950"/>
          <a:ext cx="895350" cy="676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828675</xdr:colOff>
      <xdr:row>2</xdr:row>
      <xdr:rowOff>29977</xdr:rowOff>
    </xdr:from>
    <xdr:ext cx="3826353" cy="718530"/>
    <xdr:sp macro="" textlink="">
      <xdr:nvSpPr>
        <xdr:cNvPr id="2" name="Rectangle 1"/>
        <xdr:cNvSpPr/>
      </xdr:nvSpPr>
      <xdr:spPr>
        <a:xfrm rot="710819">
          <a:off x="5838825" y="649102"/>
          <a:ext cx="3826353" cy="718530"/>
        </a:xfrm>
        <a:prstGeom prst="rect">
          <a:avLst/>
        </a:prstGeom>
        <a:noFill/>
      </xdr:spPr>
      <xdr:txBody>
        <a:bodyPr wrap="square" lIns="91440" tIns="45720" rIns="91440" bIns="45720">
          <a:spAutoFit/>
        </a:bodyPr>
        <a:lstStyle/>
        <a:p>
          <a:pPr algn="ctr"/>
          <a:r>
            <a:rPr lang="en-US" sz="2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This top stuff is  accurate, row</a:t>
          </a:r>
          <a:r>
            <a:rPr lang="en-US" sz="20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29 onwards - you're on your own...</a:t>
          </a:r>
          <a:endParaRPr lang="en-US" sz="2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WH-FAS-b\Finance%20(shared)\Corporate%20Finance\Journals\2017-18\02V%20North\AP07\BUD\02VN%20HJE%20P07%20ALLN%2000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lliamsj/AppData/Local/Microsoft/Windows/Temporary%20Internet%20Files/Content.Outlook/O0WKFHKQ/03G_Final_1718_Agreed_Allocation_Mth03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WH-FAS-b\Leeds_CCG_West\1.%20Finance\1.%2015F\NewFolderStructure\Budgets\Admin_Budgets_SECURE\2018-19\1819%20Salary%20including%20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Lookup Values"/>
      <sheetName val="Spreadsheet Format"/>
      <sheetName val="Employee Data"/>
    </sheetNames>
    <sheetDataSet>
      <sheetData sheetId="0"/>
      <sheetData sheetId="1">
        <row r="2">
          <cell r="A2" t="str">
            <v>MANUAL</v>
          </cell>
        </row>
        <row r="3">
          <cell r="A3" t="str">
            <v>AP1 to AP12 - 12ths</v>
          </cell>
        </row>
        <row r="4">
          <cell r="A4" t="str">
            <v>AP2 to AP12 - 12ths</v>
          </cell>
        </row>
        <row r="5">
          <cell r="A5" t="str">
            <v>AP3 to AP12 - 12ths</v>
          </cell>
        </row>
        <row r="6">
          <cell r="A6" t="str">
            <v>AP4 to AP12 - 12ths</v>
          </cell>
        </row>
        <row r="7">
          <cell r="A7" t="str">
            <v>AP5 to AP12 - 12ths</v>
          </cell>
        </row>
        <row r="8">
          <cell r="A8" t="str">
            <v>AP6 to AP12 - 12ths</v>
          </cell>
        </row>
        <row r="9">
          <cell r="A9" t="str">
            <v>AP7 to AP12 - 12ths</v>
          </cell>
        </row>
        <row r="10">
          <cell r="A10" t="str">
            <v>AP8 to AP12 - 12ths</v>
          </cell>
        </row>
        <row r="11">
          <cell r="A11" t="str">
            <v>AP9 to AP12 - 12ths</v>
          </cell>
        </row>
        <row r="12">
          <cell r="A12" t="str">
            <v>AP10 to AP12 - 12ths</v>
          </cell>
        </row>
        <row r="13">
          <cell r="A13" t="str">
            <v>AP11 to AP12 - 12ths</v>
          </cell>
        </row>
        <row r="14">
          <cell r="A14" t="str">
            <v>AP1</v>
          </cell>
        </row>
        <row r="15">
          <cell r="A15" t="str">
            <v>AP2</v>
          </cell>
        </row>
        <row r="16">
          <cell r="A16" t="str">
            <v>AP3</v>
          </cell>
        </row>
        <row r="17">
          <cell r="A17" t="str">
            <v>AP4</v>
          </cell>
        </row>
        <row r="18">
          <cell r="A18" t="str">
            <v>AP5</v>
          </cell>
        </row>
        <row r="19">
          <cell r="A19" t="str">
            <v>AP6</v>
          </cell>
        </row>
        <row r="20">
          <cell r="A20" t="str">
            <v>AP7</v>
          </cell>
        </row>
        <row r="21">
          <cell r="A21" t="str">
            <v>AP8</v>
          </cell>
        </row>
        <row r="22">
          <cell r="A22" t="str">
            <v>AP9</v>
          </cell>
        </row>
        <row r="23">
          <cell r="A23" t="str">
            <v>AP10</v>
          </cell>
        </row>
        <row r="24">
          <cell r="A24" t="str">
            <v>AP11</v>
          </cell>
        </row>
        <row r="25">
          <cell r="A25" t="str">
            <v>AP12</v>
          </cell>
        </row>
        <row r="26">
          <cell r="A26" t="str">
            <v>AP2 to AP12</v>
          </cell>
        </row>
        <row r="27">
          <cell r="A27" t="str">
            <v>AP3 to AP12</v>
          </cell>
        </row>
        <row r="28">
          <cell r="A28" t="str">
            <v>AP4 to AP12</v>
          </cell>
        </row>
        <row r="29">
          <cell r="A29" t="str">
            <v>AP5 to AP12</v>
          </cell>
        </row>
        <row r="30">
          <cell r="A30" t="str">
            <v>AP6 to AP12</v>
          </cell>
        </row>
        <row r="31">
          <cell r="A31" t="str">
            <v>AP7 to AP12</v>
          </cell>
        </row>
        <row r="32">
          <cell r="A32" t="str">
            <v>AP8 to AP12</v>
          </cell>
        </row>
        <row r="33">
          <cell r="A33" t="str">
            <v>AP9 to AP12</v>
          </cell>
        </row>
        <row r="34">
          <cell r="A34" t="str">
            <v>AP10 to AP12</v>
          </cell>
        </row>
        <row r="35">
          <cell r="A35" t="str">
            <v>AP11 to AP12</v>
          </cell>
        </row>
        <row r="36">
          <cell r="A36" t="str">
            <v>AP1 to AP2</v>
          </cell>
        </row>
        <row r="37">
          <cell r="A37" t="str">
            <v>AP1 to AP3</v>
          </cell>
        </row>
        <row r="38">
          <cell r="A38" t="str">
            <v>AP1 to AP4</v>
          </cell>
        </row>
        <row r="39">
          <cell r="A39" t="str">
            <v>AP1 to AP5</v>
          </cell>
        </row>
        <row r="40">
          <cell r="A40" t="str">
            <v>AP1 to AP6</v>
          </cell>
        </row>
        <row r="41">
          <cell r="A41" t="str">
            <v>AP1 to AP7</v>
          </cell>
        </row>
        <row r="42">
          <cell r="A42" t="str">
            <v>AP1 to AP8</v>
          </cell>
        </row>
        <row r="43">
          <cell r="A43" t="str">
            <v>AP1 to AP9</v>
          </cell>
        </row>
        <row r="44">
          <cell r="A44" t="str">
            <v>AP1 to AP10</v>
          </cell>
        </row>
        <row r="45">
          <cell r="A45" t="str">
            <v>AP1 to AP11</v>
          </cell>
        </row>
        <row r="46">
          <cell r="A46" t="str">
            <v>AP2 to AP3</v>
          </cell>
        </row>
        <row r="47">
          <cell r="A47" t="str">
            <v>AP2 to AP4</v>
          </cell>
        </row>
        <row r="48">
          <cell r="A48" t="str">
            <v>AP2 to AP5</v>
          </cell>
        </row>
        <row r="49">
          <cell r="A49" t="str">
            <v>AP2 to AP6</v>
          </cell>
        </row>
        <row r="50">
          <cell r="A50" t="str">
            <v>AP2 to AP7</v>
          </cell>
        </row>
        <row r="51">
          <cell r="A51" t="str">
            <v>AP2 to AP8</v>
          </cell>
        </row>
        <row r="52">
          <cell r="A52" t="str">
            <v>AP2 to AP9</v>
          </cell>
        </row>
        <row r="53">
          <cell r="A53" t="str">
            <v>AP2 to AP10</v>
          </cell>
        </row>
        <row r="54">
          <cell r="A54" t="str">
            <v>AP2 to AP11</v>
          </cell>
        </row>
        <row r="55">
          <cell r="A55" t="str">
            <v>AP3 to AP4</v>
          </cell>
        </row>
        <row r="56">
          <cell r="A56" t="str">
            <v>AP3 to AP5</v>
          </cell>
        </row>
        <row r="57">
          <cell r="A57" t="str">
            <v>AP3 to AP6</v>
          </cell>
        </row>
        <row r="58">
          <cell r="A58" t="str">
            <v>AP3 to AP7</v>
          </cell>
        </row>
        <row r="59">
          <cell r="A59" t="str">
            <v>AP3 to AP8</v>
          </cell>
        </row>
        <row r="60">
          <cell r="A60" t="str">
            <v>AP3 to AP9</v>
          </cell>
        </row>
        <row r="61">
          <cell r="A61" t="str">
            <v>AP3 to AP10</v>
          </cell>
        </row>
        <row r="62">
          <cell r="A62" t="str">
            <v>AP3 to AP11</v>
          </cell>
        </row>
        <row r="63">
          <cell r="A63" t="str">
            <v>AP4 to AP5</v>
          </cell>
        </row>
        <row r="64">
          <cell r="A64" t="str">
            <v>AP4 to AP6</v>
          </cell>
        </row>
        <row r="65">
          <cell r="A65" t="str">
            <v>AP4 to AP7</v>
          </cell>
        </row>
        <row r="66">
          <cell r="A66" t="str">
            <v>AP4 to AP8</v>
          </cell>
        </row>
        <row r="67">
          <cell r="A67" t="str">
            <v>AP4 to AP9</v>
          </cell>
        </row>
        <row r="68">
          <cell r="A68" t="str">
            <v>AP4 to AP10</v>
          </cell>
        </row>
        <row r="69">
          <cell r="A69" t="str">
            <v>AP4 to AP11</v>
          </cell>
        </row>
        <row r="70">
          <cell r="A70" t="str">
            <v>AP5 to AP6</v>
          </cell>
        </row>
        <row r="71">
          <cell r="A71" t="str">
            <v>AP5 to AP7</v>
          </cell>
        </row>
        <row r="72">
          <cell r="A72" t="str">
            <v>AP5 to AP8</v>
          </cell>
        </row>
        <row r="73">
          <cell r="A73" t="str">
            <v>AP5 to AP9</v>
          </cell>
        </row>
        <row r="74">
          <cell r="A74" t="str">
            <v>AP5 to AP10</v>
          </cell>
        </row>
        <row r="75">
          <cell r="A75" t="str">
            <v>AP5 to AP11</v>
          </cell>
        </row>
        <row r="76">
          <cell r="A76" t="str">
            <v>AP6 to AP7</v>
          </cell>
        </row>
        <row r="77">
          <cell r="A77" t="str">
            <v>AP6 to AP8</v>
          </cell>
        </row>
        <row r="78">
          <cell r="A78" t="str">
            <v>AP6 to AP9</v>
          </cell>
        </row>
        <row r="79">
          <cell r="A79" t="str">
            <v>AP6 to AP10</v>
          </cell>
        </row>
        <row r="80">
          <cell r="A80" t="str">
            <v>AP6 to AP11</v>
          </cell>
        </row>
        <row r="81">
          <cell r="A81" t="str">
            <v>AP7 to AP8</v>
          </cell>
        </row>
        <row r="82">
          <cell r="A82" t="str">
            <v>AP7 to AP9</v>
          </cell>
        </row>
        <row r="83">
          <cell r="A83" t="str">
            <v>AP7 to AP10</v>
          </cell>
        </row>
        <row r="84">
          <cell r="A84" t="str">
            <v>AP7 to AP11</v>
          </cell>
        </row>
        <row r="85">
          <cell r="A85" t="str">
            <v>AP8 to AP9</v>
          </cell>
        </row>
        <row r="86">
          <cell r="A86" t="str">
            <v>AP8 to AP10</v>
          </cell>
        </row>
        <row r="87">
          <cell r="A87" t="str">
            <v>AP8 to AP11</v>
          </cell>
        </row>
        <row r="88">
          <cell r="A88" t="str">
            <v>AP9 to AP10</v>
          </cell>
        </row>
        <row r="89">
          <cell r="A89" t="str">
            <v>AP9 to AP11</v>
          </cell>
        </row>
        <row r="90">
          <cell r="A90" t="str">
            <v>AP10 to AP11</v>
          </cell>
        </row>
        <row r="91">
          <cell r="A91" t="str">
            <v>Quarterly</v>
          </cell>
        </row>
        <row r="92">
          <cell r="A92" t="str">
            <v xml:space="preserve">WP - 12ths </v>
          </cell>
        </row>
        <row r="93">
          <cell r="A93" t="str">
            <v xml:space="preserve">WP AP2 - 12ths </v>
          </cell>
        </row>
        <row r="94">
          <cell r="A94" t="str">
            <v xml:space="preserve">WP AP2 - AP12 </v>
          </cell>
        </row>
        <row r="95">
          <cell r="A95" t="str">
            <v xml:space="preserve">WP AP3 - 12ths </v>
          </cell>
        </row>
        <row r="96">
          <cell r="A96" t="str">
            <v xml:space="preserve">WP AP3 - AP12 </v>
          </cell>
        </row>
        <row r="97">
          <cell r="A97" t="str">
            <v xml:space="preserve">WP AP4 - 12ths </v>
          </cell>
        </row>
        <row r="98">
          <cell r="A98" t="str">
            <v xml:space="preserve">WP AP4 - AP12 </v>
          </cell>
        </row>
        <row r="99">
          <cell r="A99" t="str">
            <v xml:space="preserve">WP AP5 - 12ths </v>
          </cell>
        </row>
        <row r="100">
          <cell r="A100" t="str">
            <v xml:space="preserve">WP AP5 - AP12 </v>
          </cell>
        </row>
        <row r="101">
          <cell r="A101" t="str">
            <v xml:space="preserve">WP AP6 - 12ths </v>
          </cell>
        </row>
        <row r="102">
          <cell r="A102" t="str">
            <v xml:space="preserve">WP AP6 - AP12 </v>
          </cell>
        </row>
        <row r="103">
          <cell r="A103" t="str">
            <v xml:space="preserve">WP AP7 - 12ths </v>
          </cell>
        </row>
        <row r="104">
          <cell r="A104" t="str">
            <v xml:space="preserve">WP AP7 - AP12 </v>
          </cell>
        </row>
        <row r="105">
          <cell r="A105" t="str">
            <v xml:space="preserve">WP AP8 - 12ths </v>
          </cell>
        </row>
        <row r="106">
          <cell r="A106" t="str">
            <v xml:space="preserve">WP AP8 - AP12 </v>
          </cell>
        </row>
        <row r="107">
          <cell r="A107" t="str">
            <v xml:space="preserve">WP AP9 - 12ths </v>
          </cell>
        </row>
        <row r="108">
          <cell r="A108" t="str">
            <v>WP AP9 - AP12</v>
          </cell>
        </row>
        <row r="109">
          <cell r="A109" t="str">
            <v>WP AP10 - 12ths</v>
          </cell>
        </row>
        <row r="110">
          <cell r="A110" t="str">
            <v>WP AP10 - AP12</v>
          </cell>
        </row>
        <row r="111">
          <cell r="A111" t="str">
            <v>WP AP11 - 12ths</v>
          </cell>
        </row>
        <row r="112">
          <cell r="A112" t="str">
            <v>WP AP11 - AP12</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sheetName val="Codes"/>
      <sheetName val="Cover"/>
      <sheetName val="Agreed Allocation"/>
      <sheetName val="Pending Transfers"/>
      <sheetName val="Allocations"/>
      <sheetName val="Capital"/>
      <sheetName val="03G_Final_1718_Agreed_Allocatio"/>
    </sheetNames>
    <sheetDataSet>
      <sheetData sheetId="0" refreshError="1"/>
      <sheetData sheetId="1" refreshError="1"/>
      <sheetData sheetId="2" refreshError="1">
        <row r="5">
          <cell r="C5" t="str">
            <v>03G</v>
          </cell>
        </row>
        <row r="11">
          <cell r="C11" t="str">
            <v>03</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creases"/>
      <sheetName val="Examples"/>
      <sheetName val="1819"/>
      <sheetName val="1920"/>
      <sheetName val="2021"/>
      <sheetName val="Payscales (1819,1920,1921)"/>
    </sheetNames>
    <sheetDataSet>
      <sheetData sheetId="0" refreshError="1"/>
      <sheetData sheetId="1" refreshError="1"/>
      <sheetData sheetId="2" refreshError="1"/>
      <sheetData sheetId="3" refreshError="1"/>
      <sheetData sheetId="4" refreshError="1"/>
      <sheetData sheetId="5" refreshError="1">
        <row r="46">
          <cell r="B46" t="str">
            <v>XN0701</v>
          </cell>
          <cell r="C46">
            <v>26</v>
          </cell>
        </row>
        <row r="47">
          <cell r="C47">
            <v>27</v>
          </cell>
        </row>
        <row r="48">
          <cell r="C48">
            <v>28</v>
          </cell>
        </row>
        <row r="49">
          <cell r="C49">
            <v>29</v>
          </cell>
        </row>
        <row r="50">
          <cell r="C50">
            <v>30</v>
          </cell>
        </row>
        <row r="51">
          <cell r="C51">
            <v>31</v>
          </cell>
        </row>
        <row r="52">
          <cell r="C52">
            <v>32</v>
          </cell>
        </row>
        <row r="53">
          <cell r="C53">
            <v>33</v>
          </cell>
        </row>
        <row r="54">
          <cell r="C54">
            <v>34</v>
          </cell>
        </row>
        <row r="55">
          <cell r="C55">
            <v>33</v>
          </cell>
        </row>
        <row r="56">
          <cell r="C56">
            <v>34</v>
          </cell>
        </row>
        <row r="57">
          <cell r="C57">
            <v>35</v>
          </cell>
        </row>
        <row r="58">
          <cell r="C58">
            <v>36</v>
          </cell>
        </row>
        <row r="59">
          <cell r="C59">
            <v>37</v>
          </cell>
        </row>
        <row r="60">
          <cell r="C60">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zoomScaleNormal="100" workbookViewId="0">
      <selection activeCell="H17" sqref="H17"/>
    </sheetView>
  </sheetViews>
  <sheetFormatPr defaultRowHeight="15" x14ac:dyDescent="0.25"/>
  <cols>
    <col min="18" max="18" width="5.7109375" customWidth="1"/>
    <col min="19" max="26" width="9.140625" hidden="1" customWidth="1"/>
    <col min="36" max="36" width="9.140625" customWidth="1"/>
  </cols>
  <sheetData>
    <row r="1" spans="1:2" s="70" customFormat="1" ht="21" x14ac:dyDescent="0.35">
      <c r="A1" s="184" t="s">
        <v>137</v>
      </c>
    </row>
    <row r="3" spans="1:2" ht="15.75" x14ac:dyDescent="0.25">
      <c r="A3" s="181" t="s">
        <v>139</v>
      </c>
    </row>
    <row r="4" spans="1:2" ht="15.75" x14ac:dyDescent="0.25">
      <c r="A4" s="181" t="s">
        <v>260</v>
      </c>
    </row>
    <row r="5" spans="1:2" ht="15.75" x14ac:dyDescent="0.25">
      <c r="A5" s="181" t="s">
        <v>145</v>
      </c>
    </row>
    <row r="6" spans="1:2" ht="18.75" x14ac:dyDescent="0.3">
      <c r="A6" s="243" t="s">
        <v>138</v>
      </c>
    </row>
    <row r="7" spans="1:2" s="37" customFormat="1" ht="18.75" x14ac:dyDescent="0.3">
      <c r="A7" s="183" t="s">
        <v>200</v>
      </c>
    </row>
    <row r="8" spans="1:2" s="37" customFormat="1" ht="18.75" x14ac:dyDescent="0.3">
      <c r="A8" s="183" t="s">
        <v>201</v>
      </c>
    </row>
    <row r="9" spans="1:2" s="37" customFormat="1" ht="15.75" x14ac:dyDescent="0.25">
      <c r="A9" s="240" t="s">
        <v>136</v>
      </c>
    </row>
    <row r="10" spans="1:2" s="37" customFormat="1" x14ac:dyDescent="0.25">
      <c r="A10" s="37" t="s">
        <v>160</v>
      </c>
    </row>
    <row r="11" spans="1:2" s="37" customFormat="1" x14ac:dyDescent="0.25">
      <c r="A11" s="37" t="s">
        <v>202</v>
      </c>
    </row>
    <row r="12" spans="1:2" s="37" customFormat="1" ht="18.75" x14ac:dyDescent="0.3">
      <c r="A12" s="197" t="s">
        <v>152</v>
      </c>
      <c r="B12" s="37" t="s">
        <v>161</v>
      </c>
    </row>
    <row r="13" spans="1:2" s="37" customFormat="1" ht="18.75" x14ac:dyDescent="0.3">
      <c r="A13" s="197" t="s">
        <v>152</v>
      </c>
      <c r="B13" s="37" t="s">
        <v>140</v>
      </c>
    </row>
    <row r="14" spans="1:2" s="37" customFormat="1" ht="18.75" x14ac:dyDescent="0.3">
      <c r="A14" s="197" t="s">
        <v>152</v>
      </c>
      <c r="B14" s="37" t="s">
        <v>217</v>
      </c>
    </row>
    <row r="15" spans="1:2" s="37" customFormat="1" ht="18.75" x14ac:dyDescent="0.3">
      <c r="A15" s="197" t="s">
        <v>152</v>
      </c>
      <c r="B15" s="37" t="s">
        <v>162</v>
      </c>
    </row>
    <row r="16" spans="1:2" s="37" customFormat="1" ht="15.75" x14ac:dyDescent="0.25">
      <c r="A16" s="241" t="s">
        <v>186</v>
      </c>
    </row>
    <row r="17" spans="1:2" s="37" customFormat="1" x14ac:dyDescent="0.25">
      <c r="A17" s="37" t="s">
        <v>204</v>
      </c>
    </row>
    <row r="18" spans="1:2" s="37" customFormat="1" ht="18.75" x14ac:dyDescent="0.3">
      <c r="A18" s="197" t="s">
        <v>152</v>
      </c>
      <c r="B18" s="37" t="s">
        <v>141</v>
      </c>
    </row>
    <row r="19" spans="1:2" s="37" customFormat="1" ht="18.75" x14ac:dyDescent="0.3">
      <c r="A19" s="197" t="s">
        <v>152</v>
      </c>
      <c r="B19" s="37" t="s">
        <v>203</v>
      </c>
    </row>
    <row r="20" spans="1:2" s="37" customFormat="1" ht="18.75" x14ac:dyDescent="0.3">
      <c r="A20" s="197" t="s">
        <v>152</v>
      </c>
      <c r="B20" s="37" t="s">
        <v>144</v>
      </c>
    </row>
    <row r="21" spans="1:2" s="37" customFormat="1" ht="15.75" x14ac:dyDescent="0.25">
      <c r="A21" s="241" t="s">
        <v>192</v>
      </c>
    </row>
    <row r="22" spans="1:2" s="37" customFormat="1" x14ac:dyDescent="0.25">
      <c r="A22" s="242" t="s">
        <v>205</v>
      </c>
    </row>
    <row r="23" spans="1:2" s="37" customFormat="1" ht="18.75" x14ac:dyDescent="0.3">
      <c r="A23" s="197"/>
    </row>
    <row r="24" spans="1:2" s="37" customFormat="1" ht="18.75" x14ac:dyDescent="0.3">
      <c r="A24" s="243" t="s">
        <v>206</v>
      </c>
    </row>
    <row r="25" spans="1:2" s="37" customFormat="1" ht="18.75" x14ac:dyDescent="0.3">
      <c r="A25" s="183" t="s">
        <v>142</v>
      </c>
    </row>
    <row r="26" spans="1:2" s="37" customFormat="1" ht="18.75" x14ac:dyDescent="0.3">
      <c r="A26" s="183" t="s">
        <v>147</v>
      </c>
    </row>
    <row r="27" spans="1:2" ht="15.75" x14ac:dyDescent="0.25">
      <c r="A27" s="181" t="s">
        <v>146</v>
      </c>
    </row>
    <row r="28" spans="1:2" x14ac:dyDescent="0.25">
      <c r="A28" s="38" t="s">
        <v>48</v>
      </c>
    </row>
    <row r="29" spans="1:2" x14ac:dyDescent="0.25">
      <c r="A29" s="39" t="s">
        <v>49</v>
      </c>
    </row>
    <row r="30" spans="1:2" x14ac:dyDescent="0.25">
      <c r="A30" s="39" t="s">
        <v>50</v>
      </c>
    </row>
    <row r="31" spans="1:2" x14ac:dyDescent="0.25">
      <c r="A31" s="39" t="s">
        <v>51</v>
      </c>
    </row>
    <row r="32" spans="1:2" x14ac:dyDescent="0.25">
      <c r="A32" s="39" t="s">
        <v>153</v>
      </c>
    </row>
    <row r="33" spans="1:2" x14ac:dyDescent="0.25">
      <c r="A33" s="39"/>
      <c r="B33" s="38" t="s">
        <v>154</v>
      </c>
    </row>
    <row r="34" spans="1:2" x14ac:dyDescent="0.25">
      <c r="A34" s="38" t="s">
        <v>52</v>
      </c>
    </row>
    <row r="35" spans="1:2" x14ac:dyDescent="0.25">
      <c r="A35" s="38" t="s">
        <v>53</v>
      </c>
    </row>
    <row r="36" spans="1:2" x14ac:dyDescent="0.25">
      <c r="A36" s="38" t="s">
        <v>159</v>
      </c>
    </row>
    <row r="37" spans="1:2" x14ac:dyDescent="0.25">
      <c r="A37" s="38" t="s">
        <v>54</v>
      </c>
    </row>
    <row r="38" spans="1:2" x14ac:dyDescent="0.25">
      <c r="A38" s="38"/>
    </row>
    <row r="39" spans="1:2" s="69" customFormat="1" ht="21" x14ac:dyDescent="0.35">
      <c r="A39" s="185" t="s">
        <v>148</v>
      </c>
    </row>
    <row r="40" spans="1:2" s="137" customFormat="1" ht="21" x14ac:dyDescent="0.35">
      <c r="A40" s="137" t="s">
        <v>149</v>
      </c>
    </row>
    <row r="41" spans="1:2" s="69" customFormat="1" ht="21" x14ac:dyDescent="0.35">
      <c r="B41" s="256" t="s">
        <v>150</v>
      </c>
    </row>
    <row r="42" spans="1:2" s="69" customFormat="1" ht="21" x14ac:dyDescent="0.35">
      <c r="B42" s="186" t="s">
        <v>151</v>
      </c>
    </row>
    <row r="43" spans="1:2" s="69" customFormat="1" ht="21" x14ac:dyDescent="0.35">
      <c r="B43" s="130" t="s">
        <v>156</v>
      </c>
    </row>
    <row r="44" spans="1:2" s="69" customFormat="1" ht="21" x14ac:dyDescent="0.35"/>
    <row r="45" spans="1:2" ht="21" x14ac:dyDescent="0.35">
      <c r="A45" s="137" t="s">
        <v>104</v>
      </c>
    </row>
    <row r="46" spans="1:2" x14ac:dyDescent="0.25">
      <c r="A46" t="s">
        <v>207</v>
      </c>
    </row>
    <row r="47" spans="1:2" x14ac:dyDescent="0.25">
      <c r="A47" t="s">
        <v>208</v>
      </c>
    </row>
    <row r="48" spans="1:2" x14ac:dyDescent="0.25">
      <c r="A48" t="s">
        <v>218</v>
      </c>
    </row>
    <row r="49" spans="1:16" x14ac:dyDescent="0.25">
      <c r="A49" t="s">
        <v>103</v>
      </c>
    </row>
    <row r="50" spans="1:16" ht="18.75" x14ac:dyDescent="0.3">
      <c r="B50" s="129" t="s">
        <v>102</v>
      </c>
      <c r="C50" s="130"/>
      <c r="D50" s="130"/>
      <c r="E50" s="130"/>
      <c r="F50" s="130"/>
    </row>
    <row r="51" spans="1:16" ht="18.75" x14ac:dyDescent="0.3">
      <c r="B51" s="129" t="s">
        <v>101</v>
      </c>
      <c r="C51" s="130"/>
      <c r="D51" s="130"/>
      <c r="E51" s="130"/>
      <c r="F51" s="130"/>
    </row>
    <row r="53" spans="1:16" ht="21" x14ac:dyDescent="0.35">
      <c r="A53" s="137" t="s">
        <v>82</v>
      </c>
    </row>
    <row r="54" spans="1:16" x14ac:dyDescent="0.25">
      <c r="A54" t="s">
        <v>209</v>
      </c>
    </row>
    <row r="55" spans="1:16" x14ac:dyDescent="0.25">
      <c r="A55" t="s">
        <v>210</v>
      </c>
    </row>
    <row r="56" spans="1:16" x14ac:dyDescent="0.25">
      <c r="A56" t="s">
        <v>211</v>
      </c>
    </row>
    <row r="57" spans="1:16" x14ac:dyDescent="0.25">
      <c r="A57" t="s">
        <v>219</v>
      </c>
    </row>
    <row r="59" spans="1:16" x14ac:dyDescent="0.25">
      <c r="A59" s="68" t="s">
        <v>105</v>
      </c>
      <c r="B59" s="68"/>
      <c r="C59" s="68"/>
      <c r="D59" s="68"/>
      <c r="E59" s="68"/>
      <c r="F59" s="68"/>
      <c r="G59" s="68"/>
      <c r="H59" s="68"/>
      <c r="I59" s="68"/>
      <c r="J59" s="68"/>
      <c r="K59" s="68"/>
      <c r="L59" s="68"/>
      <c r="M59" s="68"/>
      <c r="N59" s="68"/>
      <c r="O59" s="68"/>
      <c r="P59" s="68"/>
    </row>
    <row r="60" spans="1:16" x14ac:dyDescent="0.25">
      <c r="A60" t="s">
        <v>106</v>
      </c>
    </row>
    <row r="61" spans="1:16" x14ac:dyDescent="0.25">
      <c r="A61" t="s">
        <v>212</v>
      </c>
    </row>
    <row r="63" spans="1:16" x14ac:dyDescent="0.25">
      <c r="A63" s="340" t="s">
        <v>213</v>
      </c>
      <c r="B63" s="340"/>
      <c r="C63" s="340"/>
      <c r="D63" s="340"/>
      <c r="E63" s="340"/>
      <c r="F63" s="340"/>
      <c r="G63" s="340"/>
      <c r="H63" s="340"/>
      <c r="I63" s="340"/>
      <c r="J63" s="340"/>
      <c r="K63" s="340"/>
      <c r="L63" s="340"/>
      <c r="M63" s="340"/>
      <c r="N63" s="340"/>
    </row>
    <row r="64" spans="1:16" x14ac:dyDescent="0.25">
      <c r="A64" s="340"/>
      <c r="B64" s="340"/>
      <c r="C64" s="340"/>
      <c r="D64" s="340"/>
      <c r="E64" s="340"/>
      <c r="F64" s="340"/>
      <c r="G64" s="340"/>
      <c r="H64" s="340"/>
      <c r="I64" s="340"/>
      <c r="J64" s="340"/>
      <c r="K64" s="340"/>
      <c r="L64" s="340"/>
      <c r="M64" s="340"/>
      <c r="N64" s="340"/>
    </row>
    <row r="65" spans="1:14" x14ac:dyDescent="0.25">
      <c r="A65" s="340"/>
      <c r="B65" s="340"/>
      <c r="C65" s="340"/>
      <c r="D65" s="340"/>
      <c r="E65" s="340"/>
      <c r="F65" s="340"/>
      <c r="G65" s="340"/>
      <c r="H65" s="340"/>
      <c r="I65" s="340"/>
      <c r="J65" s="340"/>
      <c r="K65" s="340"/>
      <c r="L65" s="340"/>
      <c r="M65" s="340"/>
      <c r="N65" s="340"/>
    </row>
    <row r="66" spans="1:14" x14ac:dyDescent="0.25">
      <c r="A66" s="340"/>
      <c r="B66" s="340"/>
      <c r="C66" s="340"/>
      <c r="D66" s="340"/>
      <c r="E66" s="340"/>
      <c r="F66" s="340"/>
      <c r="G66" s="340"/>
      <c r="H66" s="340"/>
      <c r="I66" s="340"/>
      <c r="J66" s="340"/>
      <c r="K66" s="340"/>
      <c r="L66" s="340"/>
      <c r="M66" s="340"/>
      <c r="N66" s="340"/>
    </row>
    <row r="67" spans="1:14" ht="5.25" customHeight="1" x14ac:dyDescent="0.25">
      <c r="A67" s="340"/>
      <c r="B67" s="340"/>
      <c r="C67" s="340"/>
      <c r="D67" s="340"/>
      <c r="E67" s="340"/>
      <c r="F67" s="340"/>
      <c r="G67" s="340"/>
      <c r="H67" s="340"/>
      <c r="I67" s="340"/>
      <c r="J67" s="340"/>
      <c r="K67" s="340"/>
      <c r="L67" s="340"/>
      <c r="M67" s="340"/>
      <c r="N67" s="340"/>
    </row>
    <row r="68" spans="1:14" ht="30.75" customHeight="1" x14ac:dyDescent="0.25">
      <c r="A68" s="340"/>
      <c r="B68" s="340"/>
      <c r="C68" s="340"/>
      <c r="D68" s="340"/>
      <c r="E68" s="340"/>
      <c r="F68" s="340"/>
      <c r="G68" s="340"/>
      <c r="H68" s="340"/>
      <c r="I68" s="340"/>
      <c r="J68" s="340"/>
      <c r="K68" s="340"/>
      <c r="L68" s="340"/>
      <c r="M68" s="340"/>
      <c r="N68" s="340"/>
    </row>
    <row r="69" spans="1:14" hidden="1" x14ac:dyDescent="0.25">
      <c r="A69" s="340"/>
      <c r="B69" s="340"/>
      <c r="C69" s="340"/>
      <c r="D69" s="340"/>
      <c r="E69" s="340"/>
      <c r="F69" s="340"/>
      <c r="G69" s="340"/>
      <c r="H69" s="340"/>
      <c r="I69" s="340"/>
      <c r="J69" s="340"/>
      <c r="K69" s="340"/>
      <c r="L69" s="340"/>
      <c r="M69" s="340"/>
      <c r="N69" s="340"/>
    </row>
    <row r="70" spans="1:14" hidden="1" x14ac:dyDescent="0.25">
      <c r="A70" s="340"/>
      <c r="B70" s="340"/>
      <c r="C70" s="340"/>
      <c r="D70" s="340"/>
      <c r="E70" s="340"/>
      <c r="F70" s="340"/>
      <c r="G70" s="340"/>
      <c r="H70" s="340"/>
      <c r="I70" s="340"/>
      <c r="J70" s="340"/>
      <c r="K70" s="340"/>
      <c r="L70" s="340"/>
      <c r="M70" s="340"/>
      <c r="N70" s="340"/>
    </row>
    <row r="71" spans="1:14" hidden="1" x14ac:dyDescent="0.25">
      <c r="A71" s="340"/>
      <c r="B71" s="340"/>
      <c r="C71" s="340"/>
      <c r="D71" s="340"/>
      <c r="E71" s="340"/>
      <c r="F71" s="340"/>
      <c r="G71" s="340"/>
      <c r="H71" s="340"/>
      <c r="I71" s="340"/>
      <c r="J71" s="340"/>
      <c r="K71" s="340"/>
      <c r="L71" s="340"/>
      <c r="M71" s="340"/>
      <c r="N71" s="340"/>
    </row>
    <row r="72" spans="1:14" hidden="1" x14ac:dyDescent="0.25">
      <c r="A72" s="340"/>
      <c r="B72" s="340"/>
      <c r="C72" s="340"/>
      <c r="D72" s="340"/>
      <c r="E72" s="340"/>
      <c r="F72" s="340"/>
      <c r="G72" s="340"/>
      <c r="H72" s="340"/>
      <c r="I72" s="340"/>
      <c r="J72" s="340"/>
      <c r="K72" s="340"/>
      <c r="L72" s="340"/>
      <c r="M72" s="340"/>
      <c r="N72" s="340"/>
    </row>
    <row r="73" spans="1:14" hidden="1" x14ac:dyDescent="0.25">
      <c r="A73" s="340"/>
      <c r="B73" s="340"/>
      <c r="C73" s="340"/>
      <c r="D73" s="340"/>
      <c r="E73" s="340"/>
      <c r="F73" s="340"/>
      <c r="G73" s="340"/>
      <c r="H73" s="340"/>
      <c r="I73" s="340"/>
      <c r="J73" s="340"/>
      <c r="K73" s="340"/>
      <c r="L73" s="340"/>
      <c r="M73" s="340"/>
      <c r="N73" s="340"/>
    </row>
    <row r="74" spans="1:14" hidden="1" x14ac:dyDescent="0.25">
      <c r="A74" s="340"/>
      <c r="B74" s="340"/>
      <c r="C74" s="340"/>
      <c r="D74" s="340"/>
      <c r="E74" s="340"/>
      <c r="F74" s="340"/>
      <c r="G74" s="340"/>
      <c r="H74" s="340"/>
      <c r="I74" s="340"/>
      <c r="J74" s="340"/>
      <c r="K74" s="340"/>
      <c r="L74" s="340"/>
      <c r="M74" s="340"/>
      <c r="N74" s="340"/>
    </row>
    <row r="75" spans="1:14" ht="6" hidden="1" customHeight="1" x14ac:dyDescent="0.25">
      <c r="A75" s="340"/>
      <c r="B75" s="340"/>
      <c r="C75" s="340"/>
      <c r="D75" s="340"/>
      <c r="E75" s="340"/>
      <c r="F75" s="340"/>
      <c r="G75" s="340"/>
      <c r="H75" s="340"/>
      <c r="I75" s="340"/>
      <c r="J75" s="340"/>
      <c r="K75" s="340"/>
      <c r="L75" s="340"/>
      <c r="M75" s="340"/>
      <c r="N75" s="340"/>
    </row>
    <row r="76" spans="1:14" hidden="1" x14ac:dyDescent="0.25">
      <c r="A76" s="340"/>
      <c r="B76" s="340"/>
      <c r="C76" s="340"/>
      <c r="D76" s="340"/>
      <c r="E76" s="340"/>
      <c r="F76" s="340"/>
      <c r="G76" s="340"/>
      <c r="H76" s="340"/>
      <c r="I76" s="340"/>
      <c r="J76" s="340"/>
      <c r="K76" s="340"/>
      <c r="L76" s="340"/>
      <c r="M76" s="340"/>
      <c r="N76" s="340"/>
    </row>
    <row r="77" spans="1:14" ht="11.25" hidden="1" customHeight="1" x14ac:dyDescent="0.25">
      <c r="A77" s="340"/>
      <c r="B77" s="340"/>
      <c r="C77" s="340"/>
      <c r="D77" s="340"/>
      <c r="E77" s="340"/>
      <c r="F77" s="340"/>
      <c r="G77" s="340"/>
      <c r="H77" s="340"/>
      <c r="I77" s="340"/>
      <c r="J77" s="340"/>
      <c r="K77" s="340"/>
      <c r="L77" s="340"/>
      <c r="M77" s="340"/>
      <c r="N77" s="340"/>
    </row>
    <row r="78" spans="1:14" hidden="1" x14ac:dyDescent="0.25"/>
    <row r="79" spans="1:14" hidden="1" x14ac:dyDescent="0.25"/>
    <row r="80" spans="1:14" hidden="1" x14ac:dyDescent="0.25"/>
    <row r="81" ht="15" customHeight="1" x14ac:dyDescent="0.25"/>
    <row r="82" ht="93" customHeight="1" x14ac:dyDescent="0.25"/>
  </sheetData>
  <customSheetViews>
    <customSheetView guid="{3A3D6D3D-C242-4ACD-A854-603FFD99C5F9}" hiddenRows="1" hiddenColumns="1">
      <selection activeCell="B31" sqref="B31"/>
      <rowBreaks count="1" manualBreakCount="1">
        <brk id="23" max="16383" man="1"/>
      </rowBreaks>
      <pageMargins left="0.70866141732283472" right="0.70866141732283472" top="0.74803149606299213" bottom="0.74803149606299213" header="0.31496062992125984" footer="0.31496062992125984"/>
      <pageSetup paperSize="9" scale="51" fitToHeight="2" orientation="landscape" r:id="rId1"/>
    </customSheetView>
  </customSheetViews>
  <mergeCells count="1">
    <mergeCell ref="A63:N77"/>
  </mergeCells>
  <pageMargins left="0.70866141732283472" right="0.70866141732283472" top="0.74803149606299213" bottom="0.74803149606299213" header="0.31496062992125984" footer="0.31496062992125984"/>
  <pageSetup paperSize="9" scale="51" fitToHeight="2" orientation="landscape" r:id="rId2"/>
  <rowBreaks count="1" manualBreakCount="1">
    <brk id="2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30"/>
  <sheetViews>
    <sheetView tabSelected="1" topLeftCell="A11" workbookViewId="0">
      <selection activeCell="F27" sqref="F27"/>
    </sheetView>
  </sheetViews>
  <sheetFormatPr defaultRowHeight="15" x14ac:dyDescent="0.25"/>
  <cols>
    <col min="2" max="2" width="43.85546875" customWidth="1"/>
    <col min="3" max="3" width="11.85546875" customWidth="1"/>
    <col min="4" max="4" width="23.28515625" customWidth="1"/>
    <col min="5" max="5" width="17.42578125" customWidth="1"/>
    <col min="6" max="6" width="49.85546875" customWidth="1"/>
    <col min="8" max="8" width="10.5703125" bestFit="1" customWidth="1"/>
  </cols>
  <sheetData>
    <row r="1" spans="2:5" ht="21" x14ac:dyDescent="0.35">
      <c r="B1" s="184" t="s">
        <v>261</v>
      </c>
    </row>
    <row r="3" spans="2:5" x14ac:dyDescent="0.25">
      <c r="B3" t="s">
        <v>262</v>
      </c>
    </row>
    <row r="4" spans="2:5" x14ac:dyDescent="0.25">
      <c r="B4" t="s">
        <v>224</v>
      </c>
    </row>
    <row r="6" spans="2:5" x14ac:dyDescent="0.25">
      <c r="B6" s="337" t="s">
        <v>279</v>
      </c>
      <c r="C6" s="297">
        <v>50000</v>
      </c>
    </row>
    <row r="7" spans="2:5" ht="15.75" thickBot="1" x14ac:dyDescent="0.3">
      <c r="B7" s="1"/>
      <c r="C7" s="297"/>
    </row>
    <row r="8" spans="2:5" ht="30.75" thickBot="1" x14ac:dyDescent="0.3">
      <c r="B8" s="206" t="s">
        <v>136</v>
      </c>
      <c r="C8" s="307" t="s">
        <v>263</v>
      </c>
      <c r="D8" s="307" t="s">
        <v>259</v>
      </c>
      <c r="E8" s="308" t="s">
        <v>265</v>
      </c>
    </row>
    <row r="9" spans="2:5" x14ac:dyDescent="0.25">
      <c r="B9" s="205" t="s">
        <v>176</v>
      </c>
      <c r="C9" s="304">
        <v>1.5</v>
      </c>
      <c r="D9" s="305" t="s">
        <v>264</v>
      </c>
      <c r="E9" s="306">
        <v>1.5</v>
      </c>
    </row>
    <row r="10" spans="2:5" x14ac:dyDescent="0.25">
      <c r="B10" s="111" t="s">
        <v>183</v>
      </c>
      <c r="C10" s="298">
        <f>34379/50000</f>
        <v>0.68757999999999997</v>
      </c>
      <c r="D10" s="161" t="s">
        <v>182</v>
      </c>
      <c r="E10" s="300">
        <f>C10/12*9</f>
        <v>0.51568499999999995</v>
      </c>
    </row>
    <row r="11" spans="2:5" x14ac:dyDescent="0.25">
      <c r="B11" s="111" t="s">
        <v>37</v>
      </c>
      <c r="C11" s="299">
        <v>37810</v>
      </c>
      <c r="D11" s="161" t="s">
        <v>182</v>
      </c>
      <c r="E11" s="339">
        <f>'PCN Costs'!E14</f>
        <v>30552.899999999998</v>
      </c>
    </row>
    <row r="12" spans="2:5" x14ac:dyDescent="0.25">
      <c r="B12" s="111" t="s">
        <v>38</v>
      </c>
      <c r="C12" s="299">
        <v>34113</v>
      </c>
      <c r="D12" s="161" t="s">
        <v>182</v>
      </c>
      <c r="E12" s="339">
        <f>'PCN Costs'!F14</f>
        <v>24583.08722229</v>
      </c>
    </row>
    <row r="13" spans="2:5" x14ac:dyDescent="0.25">
      <c r="B13" s="111" t="s">
        <v>179</v>
      </c>
      <c r="C13" s="298">
        <v>1.45</v>
      </c>
      <c r="D13" s="161" t="s">
        <v>264</v>
      </c>
      <c r="E13" s="300">
        <f>C13/12*9</f>
        <v>1.0874999999999999</v>
      </c>
    </row>
    <row r="14" spans="2:5" ht="15.75" thickBot="1" x14ac:dyDescent="0.3">
      <c r="B14" s="113" t="s">
        <v>127</v>
      </c>
      <c r="C14" s="301">
        <v>1.76</v>
      </c>
      <c r="D14" s="302" t="s">
        <v>181</v>
      </c>
      <c r="E14" s="303">
        <v>1.76</v>
      </c>
    </row>
    <row r="16" spans="2:5" x14ac:dyDescent="0.25">
      <c r="E16" s="309"/>
    </row>
    <row r="17" spans="2:6" ht="30" x14ac:dyDescent="0.25">
      <c r="B17" s="323" t="s">
        <v>225</v>
      </c>
      <c r="C17" s="324">
        <f>'A4C Pay Bands (pharm ACP etc)'!$K$34</f>
        <v>20386</v>
      </c>
      <c r="D17" s="325" t="s">
        <v>272</v>
      </c>
      <c r="E17" s="324">
        <f>C17*0.75</f>
        <v>15289.5</v>
      </c>
    </row>
    <row r="18" spans="2:6" ht="15.75" thickBot="1" x14ac:dyDescent="0.3"/>
    <row r="19" spans="2:6" x14ac:dyDescent="0.25">
      <c r="B19" s="314" t="s">
        <v>226</v>
      </c>
      <c r="C19" s="315">
        <f>C6*C9</f>
        <v>75000</v>
      </c>
      <c r="D19" s="315" t="s">
        <v>273</v>
      </c>
      <c r="E19" s="315">
        <f>C19-E17</f>
        <v>59710.5</v>
      </c>
      <c r="F19" s="316" t="s">
        <v>227</v>
      </c>
    </row>
    <row r="20" spans="2:6" x14ac:dyDescent="0.25">
      <c r="B20" s="317" t="s">
        <v>228</v>
      </c>
      <c r="C20" s="313">
        <f>C14*C6</f>
        <v>88000</v>
      </c>
      <c r="D20" s="313" t="s">
        <v>273</v>
      </c>
      <c r="E20" s="313">
        <f>C20-E17</f>
        <v>72710.5</v>
      </c>
      <c r="F20" s="318" t="s">
        <v>229</v>
      </c>
    </row>
    <row r="21" spans="2:6" ht="30" x14ac:dyDescent="0.25">
      <c r="B21" s="317" t="s">
        <v>230</v>
      </c>
      <c r="C21" s="313">
        <f>E13*C6</f>
        <v>54374.999999999993</v>
      </c>
      <c r="D21" s="313" t="s">
        <v>273</v>
      </c>
      <c r="E21" s="313">
        <f>C21-E17</f>
        <v>39085.499999999993</v>
      </c>
      <c r="F21" s="318" t="s">
        <v>282</v>
      </c>
    </row>
    <row r="22" spans="2:6" ht="30.75" thickBot="1" x14ac:dyDescent="0.3">
      <c r="B22" s="319" t="s">
        <v>232</v>
      </c>
      <c r="C22" s="320">
        <f>SUM(C19:C21)</f>
        <v>217375</v>
      </c>
      <c r="D22" s="321" t="s">
        <v>273</v>
      </c>
      <c r="E22" s="321">
        <f>C22-E17</f>
        <v>202085.5</v>
      </c>
      <c r="F22" s="322" t="s">
        <v>258</v>
      </c>
    </row>
    <row r="23" spans="2:6" x14ac:dyDescent="0.25">
      <c r="B23" s="1"/>
      <c r="C23" s="296"/>
    </row>
    <row r="24" spans="2:6" ht="15.75" thickBot="1" x14ac:dyDescent="0.3"/>
    <row r="25" spans="2:6" x14ac:dyDescent="0.25">
      <c r="B25" s="326" t="s">
        <v>274</v>
      </c>
      <c r="C25" s="327"/>
      <c r="D25" s="327" t="s">
        <v>233</v>
      </c>
      <c r="E25" s="327"/>
      <c r="F25" s="328"/>
    </row>
    <row r="26" spans="2:6" x14ac:dyDescent="0.25">
      <c r="B26" s="329"/>
      <c r="C26" s="330"/>
      <c r="D26" s="330"/>
      <c r="E26" s="330"/>
      <c r="F26" s="331"/>
    </row>
    <row r="27" spans="2:6" ht="30" x14ac:dyDescent="0.25">
      <c r="B27" s="336" t="s">
        <v>275</v>
      </c>
      <c r="C27" s="332" t="s">
        <v>276</v>
      </c>
      <c r="D27" s="332" t="s">
        <v>277</v>
      </c>
      <c r="E27" s="332" t="s">
        <v>259</v>
      </c>
      <c r="F27" s="331"/>
    </row>
    <row r="28" spans="2:6" ht="15.75" thickBot="1" x14ac:dyDescent="0.3">
      <c r="B28" s="333" t="s">
        <v>231</v>
      </c>
      <c r="C28" s="334">
        <v>100</v>
      </c>
      <c r="D28" s="334">
        <f>C28*25</f>
        <v>2500</v>
      </c>
      <c r="E28" s="334">
        <f>D28*52</f>
        <v>130000</v>
      </c>
      <c r="F28" s="335" t="s">
        <v>278</v>
      </c>
    </row>
    <row r="30" spans="2:6" x14ac:dyDescent="0.25">
      <c r="B30" s="1" t="s">
        <v>257</v>
      </c>
    </row>
  </sheetData>
  <customSheetViews>
    <customSheetView guid="{3A3D6D3D-C242-4ACD-A854-603FFD99C5F9}" showPageBreaks="1" fitToPage="1">
      <selection activeCell="M19" sqref="M19"/>
      <pageMargins left="0.70866141732283472" right="0.70866141732283472" top="0.74803149606299213" bottom="0.74803149606299213" header="0.31496062992125984" footer="0.31496062992125984"/>
      <pageSetup paperSize="9" scale="84" orientation="landscape" r:id="rId1"/>
    </customSheetView>
  </customSheetViews>
  <pageMargins left="0.70866141732283472" right="0.70866141732283472" top="0.74803149606299213" bottom="0.74803149606299213" header="0.31496062992125984" footer="0.31496062992125984"/>
  <pageSetup paperSize="9" scale="84"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2"/>
  <sheetViews>
    <sheetView topLeftCell="A14" zoomScaleNormal="100" workbookViewId="0">
      <selection activeCell="D24" sqref="D24"/>
    </sheetView>
  </sheetViews>
  <sheetFormatPr defaultRowHeight="15" x14ac:dyDescent="0.25"/>
  <cols>
    <col min="1" max="1" width="4.28515625" customWidth="1"/>
    <col min="2" max="2" width="33.7109375" customWidth="1"/>
    <col min="3" max="4" width="19" customWidth="1"/>
    <col min="5" max="5" width="17" customWidth="1"/>
    <col min="6" max="6" width="18.28515625" customWidth="1"/>
    <col min="7" max="7" width="23.140625" customWidth="1"/>
    <col min="8" max="8" width="12.7109375" customWidth="1"/>
    <col min="9" max="9" width="23.28515625" bestFit="1" customWidth="1"/>
    <col min="10" max="10" width="31.5703125" customWidth="1"/>
    <col min="11" max="11" width="20" customWidth="1"/>
    <col min="12" max="12" width="14.7109375" customWidth="1"/>
    <col min="13" max="13" width="18.140625" customWidth="1"/>
    <col min="14" max="14" width="17.42578125" customWidth="1"/>
    <col min="15" max="16" width="17.5703125" customWidth="1"/>
    <col min="17" max="17" width="18.140625" customWidth="1"/>
    <col min="18" max="18" width="15.5703125" customWidth="1"/>
  </cols>
  <sheetData>
    <row r="1" spans="2:11" ht="21" x14ac:dyDescent="0.35">
      <c r="B1" s="184" t="s">
        <v>132</v>
      </c>
    </row>
    <row r="2" spans="2:11" ht="18.75" x14ac:dyDescent="0.3">
      <c r="B2" s="183"/>
    </row>
    <row r="3" spans="2:11" ht="18.75" x14ac:dyDescent="0.3">
      <c r="B3" s="341" t="s">
        <v>185</v>
      </c>
      <c r="C3" s="341"/>
      <c r="G3" s="214" t="s">
        <v>136</v>
      </c>
      <c r="H3" s="310" t="s">
        <v>263</v>
      </c>
      <c r="I3" s="214" t="s">
        <v>180</v>
      </c>
      <c r="J3" s="310" t="s">
        <v>265</v>
      </c>
    </row>
    <row r="4" spans="2:11" ht="18.75" x14ac:dyDescent="0.3">
      <c r="B4" s="183" t="s">
        <v>123</v>
      </c>
      <c r="C4" s="202" t="s">
        <v>214</v>
      </c>
      <c r="G4" s="215" t="s">
        <v>176</v>
      </c>
      <c r="H4" s="216">
        <v>1.5</v>
      </c>
      <c r="I4" s="215" t="s">
        <v>264</v>
      </c>
      <c r="J4" s="216">
        <v>1.5</v>
      </c>
    </row>
    <row r="5" spans="2:11" ht="18.75" x14ac:dyDescent="0.3">
      <c r="B5" s="183" t="s">
        <v>177</v>
      </c>
      <c r="C5" s="203">
        <v>35316</v>
      </c>
      <c r="G5" s="215" t="s">
        <v>183</v>
      </c>
      <c r="H5" s="216">
        <v>0.69</v>
      </c>
      <c r="I5" s="217" t="s">
        <v>182</v>
      </c>
      <c r="J5" s="216">
        <f>H5/12*9</f>
        <v>0.51749999999999996</v>
      </c>
    </row>
    <row r="6" spans="2:11" ht="32.25" x14ac:dyDescent="0.3">
      <c r="B6" s="183" t="s">
        <v>178</v>
      </c>
      <c r="C6" s="203">
        <v>37000</v>
      </c>
      <c r="G6" s="215" t="s">
        <v>37</v>
      </c>
      <c r="H6" s="218">
        <v>37810</v>
      </c>
      <c r="I6" s="217" t="s">
        <v>182</v>
      </c>
      <c r="J6" s="218">
        <f>H6/12*9</f>
        <v>28357.5</v>
      </c>
    </row>
    <row r="7" spans="2:11" ht="31.5" x14ac:dyDescent="0.25">
      <c r="C7" s="175"/>
      <c r="G7" s="215" t="s">
        <v>38</v>
      </c>
      <c r="H7" s="218">
        <v>34113</v>
      </c>
      <c r="I7" s="217" t="s">
        <v>182</v>
      </c>
      <c r="J7" s="218">
        <f>H7/12*9</f>
        <v>25584.75</v>
      </c>
    </row>
    <row r="8" spans="2:11" ht="15.75" x14ac:dyDescent="0.25">
      <c r="B8" s="174"/>
      <c r="C8" s="176"/>
      <c r="G8" s="215" t="s">
        <v>179</v>
      </c>
      <c r="H8" s="216">
        <v>1.45</v>
      </c>
      <c r="I8" s="215" t="s">
        <v>264</v>
      </c>
      <c r="J8" s="216">
        <f>H8/12*9</f>
        <v>1.0874999999999999</v>
      </c>
    </row>
    <row r="9" spans="2:11" ht="32.25" x14ac:dyDescent="0.3">
      <c r="B9" s="198"/>
      <c r="C9" s="177"/>
      <c r="G9" s="215" t="s">
        <v>127</v>
      </c>
      <c r="H9" s="216">
        <v>1.76</v>
      </c>
      <c r="I9" s="215" t="s">
        <v>181</v>
      </c>
      <c r="J9" s="216">
        <v>1.76</v>
      </c>
    </row>
    <row r="10" spans="2:11" ht="18.75" x14ac:dyDescent="0.3">
      <c r="B10" s="311" t="s">
        <v>135</v>
      </c>
      <c r="C10" s="180"/>
      <c r="I10" s="230"/>
      <c r="J10" s="231"/>
      <c r="K10" s="230"/>
    </row>
    <row r="11" spans="2:11" ht="15.75" x14ac:dyDescent="0.25">
      <c r="B11" s="182"/>
      <c r="C11" s="180"/>
    </row>
    <row r="12" spans="2:11" ht="18.75" x14ac:dyDescent="0.3">
      <c r="B12" s="198" t="s">
        <v>136</v>
      </c>
      <c r="C12" s="180"/>
    </row>
    <row r="13" spans="2:11" s="179" customFormat="1" ht="63" x14ac:dyDescent="0.25">
      <c r="B13" s="210" t="s">
        <v>133</v>
      </c>
      <c r="C13" s="211" t="s">
        <v>220</v>
      </c>
      <c r="D13" s="211" t="s">
        <v>266</v>
      </c>
      <c r="E13" s="211" t="s">
        <v>174</v>
      </c>
      <c r="F13" s="211" t="s">
        <v>175</v>
      </c>
      <c r="G13" s="224" t="s">
        <v>193</v>
      </c>
      <c r="H13" s="211" t="s">
        <v>267</v>
      </c>
      <c r="I13" s="211" t="s">
        <v>268</v>
      </c>
      <c r="J13" s="224" t="s">
        <v>269</v>
      </c>
    </row>
    <row r="14" spans="2:11" s="181" customFormat="1" ht="15.75" x14ac:dyDescent="0.25">
      <c r="B14" s="212" t="s">
        <v>21</v>
      </c>
      <c r="C14" s="213">
        <f>$C$5*$H$4</f>
        <v>52974</v>
      </c>
      <c r="D14" s="213">
        <f>($C$5*$J$5)</f>
        <v>18276.03</v>
      </c>
      <c r="E14" s="338">
        <f>'A4C Pay Bands (pharm ACP etc)'!$I$34*0.75</f>
        <v>30552.899999999998</v>
      </c>
      <c r="F14" s="338">
        <f>'A4C Pay Bands (pharm ACP etc)'!$G$9*0.75</f>
        <v>24583.08722229</v>
      </c>
      <c r="G14" s="236">
        <f>SUM(C14:F14)</f>
        <v>126386.01722228999</v>
      </c>
      <c r="H14" s="220">
        <f>$J$8*$C$5</f>
        <v>38406.149999999994</v>
      </c>
      <c r="I14" s="220">
        <f>$H$9*$C$6</f>
        <v>65120</v>
      </c>
      <c r="J14" s="225">
        <f>SUM(G14:I14)</f>
        <v>229912.16722228998</v>
      </c>
    </row>
    <row r="15" spans="2:11" s="181" customFormat="1" ht="15.75" x14ac:dyDescent="0.25">
      <c r="B15" s="212" t="s">
        <v>22</v>
      </c>
      <c r="C15" s="213">
        <f>$C$5*$H$4</f>
        <v>52974</v>
      </c>
      <c r="D15" s="213">
        <f>($C$5*$H$5)</f>
        <v>24368.039999999997</v>
      </c>
      <c r="E15" s="213">
        <f>IF((61000*0.7)&lt;$H$6,(61000*0.7),$H$6)</f>
        <v>37810</v>
      </c>
      <c r="F15" s="213">
        <f>IF(33951&lt;$H$7,33951,$H$7)</f>
        <v>33951</v>
      </c>
      <c r="G15" s="236">
        <f t="shared" ref="G15:G18" si="0">SUM(C15:F15)</f>
        <v>149103.03999999998</v>
      </c>
      <c r="H15" s="220">
        <f>$H$8*$C$5</f>
        <v>51208.2</v>
      </c>
      <c r="I15" s="220">
        <f>$H$9*$C$6</f>
        <v>65120</v>
      </c>
      <c r="J15" s="225">
        <f>SUM(G15:I15)</f>
        <v>265431.24</v>
      </c>
    </row>
    <row r="16" spans="2:11" s="181" customFormat="1" ht="15.75" x14ac:dyDescent="0.25">
      <c r="B16" s="212" t="s">
        <v>129</v>
      </c>
      <c r="C16" s="213">
        <f>$C$5*$H$4</f>
        <v>52974</v>
      </c>
      <c r="D16" s="213">
        <f>($C$5*$H$5)</f>
        <v>24368.039999999997</v>
      </c>
      <c r="E16" s="213">
        <f>IF((65037*0.7)&lt;$H$6,(65037*0.7),$H$6)</f>
        <v>37810</v>
      </c>
      <c r="F16" s="213">
        <f>IF(38051&lt;$H$7,38051,$H$7)</f>
        <v>34113</v>
      </c>
      <c r="G16" s="236">
        <f t="shared" si="0"/>
        <v>149265.03999999998</v>
      </c>
      <c r="H16" s="220">
        <f>$H$8*$C$5</f>
        <v>51208.2</v>
      </c>
      <c r="I16" s="220">
        <f>$H$9*$C$6</f>
        <v>65120</v>
      </c>
      <c r="J16" s="225">
        <f>SUM(G16:I16)</f>
        <v>265593.24</v>
      </c>
    </row>
    <row r="17" spans="2:10" s="181" customFormat="1" ht="15.75" x14ac:dyDescent="0.25">
      <c r="B17" s="212" t="s">
        <v>23</v>
      </c>
      <c r="C17" s="213">
        <f>$C$5*$H$4</f>
        <v>52974</v>
      </c>
      <c r="D17" s="213">
        <f>($C$5*$H$5)</f>
        <v>24368.039999999997</v>
      </c>
      <c r="E17" s="213">
        <f>IF((65037*0.7)&lt;$H$6,(65037*0.7),$H$6)</f>
        <v>37810</v>
      </c>
      <c r="F17" s="213">
        <f>IF(38051&lt;$H$7,38051,$H$7)</f>
        <v>34113</v>
      </c>
      <c r="G17" s="236">
        <f t="shared" si="0"/>
        <v>149265.03999999998</v>
      </c>
      <c r="H17" s="220">
        <f>$H$8*$C$5</f>
        <v>51208.2</v>
      </c>
      <c r="I17" s="220">
        <f>$H$9*$C$6</f>
        <v>65120</v>
      </c>
      <c r="J17" s="225">
        <f>SUM(G17:I17)</f>
        <v>265593.24</v>
      </c>
    </row>
    <row r="18" spans="2:10" s="181" customFormat="1" ht="15.75" x14ac:dyDescent="0.25">
      <c r="B18" s="212" t="s">
        <v>130</v>
      </c>
      <c r="C18" s="213">
        <f>$C$5*$H$4</f>
        <v>52974</v>
      </c>
      <c r="D18" s="213">
        <f>($C$5*$H$5)</f>
        <v>24368.039999999997</v>
      </c>
      <c r="E18" s="213">
        <f>IF((65037*0.7)&lt;$H$6,(65037*0.7),$H$6)</f>
        <v>37810</v>
      </c>
      <c r="F18" s="213">
        <f>IF(38051&lt;$H$7,38051,$H$7)</f>
        <v>34113</v>
      </c>
      <c r="G18" s="236">
        <f t="shared" si="0"/>
        <v>149265.03999999998</v>
      </c>
      <c r="H18" s="220">
        <f>$H$8*$C$5</f>
        <v>51208.2</v>
      </c>
      <c r="I18" s="220">
        <f>$H$9*$C$6</f>
        <v>65120</v>
      </c>
      <c r="J18" s="225">
        <f>SUM(G18:I18)</f>
        <v>265593.24</v>
      </c>
    </row>
    <row r="19" spans="2:10" s="181" customFormat="1" ht="15.75" x14ac:dyDescent="0.25">
      <c r="B19" s="209"/>
    </row>
    <row r="21" spans="2:10" ht="18.75" x14ac:dyDescent="0.3">
      <c r="B21" s="183" t="s">
        <v>186</v>
      </c>
    </row>
    <row r="22" spans="2:10" s="181" customFormat="1" ht="47.25" x14ac:dyDescent="0.25">
      <c r="B22" s="210" t="s">
        <v>133</v>
      </c>
      <c r="C22" s="211" t="s">
        <v>128</v>
      </c>
      <c r="D22" s="211" t="s">
        <v>187</v>
      </c>
      <c r="E22" s="211" t="s">
        <v>190</v>
      </c>
      <c r="F22" s="211" t="s">
        <v>191</v>
      </c>
      <c r="G22" s="228"/>
      <c r="I22" s="228"/>
      <c r="J22" s="219"/>
    </row>
    <row r="23" spans="2:10" s="181" customFormat="1" ht="15.75" x14ac:dyDescent="0.25">
      <c r="B23" s="212" t="s">
        <v>21</v>
      </c>
      <c r="C23" s="213">
        <f>(((IF($C$5&lt;30000,0.15,IF($C$5&lt;40000,0.2,0.25)))*137516)*0.75)-$D14</f>
        <v>2351.3700000000026</v>
      </c>
      <c r="D23" s="221">
        <f>'Workforce Model'!H6</f>
        <v>15289.5</v>
      </c>
      <c r="E23" s="221">
        <f>IF($F14-$H$7&lt;0,0,$F14-$H$7)</f>
        <v>0</v>
      </c>
      <c r="F23" s="222">
        <f>SUM(C23:E23)</f>
        <v>17640.870000000003</v>
      </c>
      <c r="G23" s="229"/>
      <c r="I23" s="235"/>
      <c r="J23" s="219"/>
    </row>
    <row r="24" spans="2:10" s="181" customFormat="1" ht="15.75" x14ac:dyDescent="0.25">
      <c r="B24" s="212" t="s">
        <v>22</v>
      </c>
      <c r="C24" s="213">
        <f>(((IF($C$5&lt;30000,0.15,IF($C$5&lt;40000,0.2,0.25)))*137516))-$D15</f>
        <v>3135.1600000000035</v>
      </c>
      <c r="D24" s="221">
        <f>'Workforce Model'!H7</f>
        <v>50474.496000000006</v>
      </c>
      <c r="E24" s="221">
        <f>IF(33951&lt;$H$7,0,33951-$H$7)</f>
        <v>0</v>
      </c>
      <c r="F24" s="222">
        <f t="shared" ref="F24:F27" si="1">SUM(C24:E24)</f>
        <v>53609.65600000001</v>
      </c>
      <c r="G24" s="229"/>
      <c r="I24" s="235"/>
      <c r="J24" s="219"/>
    </row>
    <row r="25" spans="2:10" s="181" customFormat="1" ht="15.75" x14ac:dyDescent="0.25">
      <c r="B25" s="212" t="s">
        <v>129</v>
      </c>
      <c r="C25" s="213">
        <f>(((IF($C$5&lt;30000,0.15,IF($C$5&lt;40000,0.2,0.25)))*137516))-$D16</f>
        <v>3135.1600000000035</v>
      </c>
      <c r="D25" s="221">
        <f>'Workforce Model'!H8</f>
        <v>85384.157503004491</v>
      </c>
      <c r="E25" s="221">
        <f>IF(38051&lt;$H$7,0,38051-$H$7)</f>
        <v>3938</v>
      </c>
      <c r="F25" s="222">
        <f t="shared" si="1"/>
        <v>92457.317503004495</v>
      </c>
      <c r="G25" s="229"/>
      <c r="I25" s="235"/>
      <c r="J25" s="219"/>
    </row>
    <row r="26" spans="2:10" s="181" customFormat="1" ht="15.75" x14ac:dyDescent="0.25">
      <c r="B26" s="212" t="s">
        <v>23</v>
      </c>
      <c r="C26" s="213">
        <f>(((IF($C$5&lt;30000,0.15,IF($C$5&lt;40000,0.2,0.25)))*137516))-$D17</f>
        <v>3135.1600000000035</v>
      </c>
      <c r="D26" s="221">
        <f>'Workforce Model'!H9</f>
        <v>108725.62694106456</v>
      </c>
      <c r="E26" s="221">
        <f>IF(38051&lt;$H$7,0,38051-$H$7)</f>
        <v>3938</v>
      </c>
      <c r="F26" s="222">
        <f t="shared" si="1"/>
        <v>115798.78694106457</v>
      </c>
      <c r="G26" s="229"/>
      <c r="I26" s="235"/>
      <c r="J26" s="219"/>
    </row>
    <row r="27" spans="2:10" s="181" customFormat="1" ht="15.75" x14ac:dyDescent="0.25">
      <c r="B27" s="212" t="s">
        <v>130</v>
      </c>
      <c r="C27" s="213">
        <f>(((IF($C$5&lt;30000,0.15,IF($C$5&lt;40000,0.2,0.25)))*137516))-$D18</f>
        <v>3135.1600000000035</v>
      </c>
      <c r="D27" s="221">
        <f>'Workforce Model'!H10</f>
        <v>132966.60149364587</v>
      </c>
      <c r="E27" s="221">
        <f>IF(38051&lt;$H$7,0,38051-$H$7)</f>
        <v>3938</v>
      </c>
      <c r="F27" s="222">
        <f t="shared" si="1"/>
        <v>140039.76149364587</v>
      </c>
      <c r="G27" s="229"/>
      <c r="I27" s="235"/>
      <c r="J27" s="219"/>
    </row>
    <row r="28" spans="2:10" x14ac:dyDescent="0.25">
      <c r="I28" s="10"/>
      <c r="J28" s="10"/>
    </row>
    <row r="30" spans="2:10" ht="18.75" x14ac:dyDescent="0.3">
      <c r="B30" s="227" t="s">
        <v>192</v>
      </c>
    </row>
    <row r="31" spans="2:10" ht="18.75" x14ac:dyDescent="0.3">
      <c r="B31" s="227"/>
    </row>
    <row r="32" spans="2:10" ht="15.75" x14ac:dyDescent="0.25">
      <c r="B32" s="232" t="s">
        <v>221</v>
      </c>
    </row>
    <row r="33" spans="2:10" s="181" customFormat="1" ht="15.75" x14ac:dyDescent="0.25">
      <c r="B33" s="232"/>
    </row>
    <row r="34" spans="2:10" s="181" customFormat="1" ht="78.75" x14ac:dyDescent="0.25">
      <c r="B34" s="210" t="s">
        <v>133</v>
      </c>
      <c r="C34" s="211" t="s">
        <v>270</v>
      </c>
      <c r="D34" s="211" t="s">
        <v>194</v>
      </c>
      <c r="E34" s="223" t="s">
        <v>195</v>
      </c>
      <c r="F34" s="223" t="s">
        <v>196</v>
      </c>
    </row>
    <row r="35" spans="2:10" s="181" customFormat="1" ht="15.75" x14ac:dyDescent="0.25">
      <c r="B35" s="212" t="s">
        <v>21</v>
      </c>
      <c r="C35" s="233">
        <f>G14</f>
        <v>126386.01722228999</v>
      </c>
      <c r="D35" s="233">
        <f>$F23+$F14</f>
        <v>42223.957222290002</v>
      </c>
      <c r="E35" s="234">
        <f>C35-D35</f>
        <v>84162.059999999983</v>
      </c>
      <c r="F35" s="234">
        <f>E35</f>
        <v>84162.059999999983</v>
      </c>
    </row>
    <row r="36" spans="2:10" s="181" customFormat="1" ht="15.75" x14ac:dyDescent="0.25">
      <c r="B36" s="212" t="s">
        <v>22</v>
      </c>
      <c r="C36" s="233">
        <f>G15</f>
        <v>149103.03999999998</v>
      </c>
      <c r="D36" s="233">
        <f>$F24+$F15</f>
        <v>87560.656000000017</v>
      </c>
      <c r="E36" s="234">
        <f t="shared" ref="E36:E39" si="2">C36-D36</f>
        <v>61542.383999999962</v>
      </c>
      <c r="F36" s="234">
        <f>F35+E36</f>
        <v>145704.44399999996</v>
      </c>
    </row>
    <row r="37" spans="2:10" s="181" customFormat="1" ht="15.75" x14ac:dyDescent="0.25">
      <c r="B37" s="212" t="s">
        <v>129</v>
      </c>
      <c r="C37" s="233">
        <f>G16</f>
        <v>149265.03999999998</v>
      </c>
      <c r="D37" s="233">
        <f>$F25+$F16</f>
        <v>126570.31750300449</v>
      </c>
      <c r="E37" s="234">
        <f t="shared" si="2"/>
        <v>22694.722496995484</v>
      </c>
      <c r="F37" s="234">
        <f t="shared" ref="F37:F39" si="3">F36+E37</f>
        <v>168399.16649699543</v>
      </c>
      <c r="G37" s="181" t="s">
        <v>222</v>
      </c>
    </row>
    <row r="38" spans="2:10" s="181" customFormat="1" ht="15.75" x14ac:dyDescent="0.25">
      <c r="B38" s="212" t="s">
        <v>23</v>
      </c>
      <c r="C38" s="233">
        <f>G17</f>
        <v>149265.03999999998</v>
      </c>
      <c r="D38" s="233">
        <f>$F26+$F17</f>
        <v>149911.78694106458</v>
      </c>
      <c r="E38" s="234">
        <f t="shared" si="2"/>
        <v>-646.74694106460083</v>
      </c>
      <c r="F38" s="234">
        <f t="shared" si="3"/>
        <v>167752.41955593083</v>
      </c>
      <c r="G38" s="181" t="s">
        <v>223</v>
      </c>
    </row>
    <row r="39" spans="2:10" s="181" customFormat="1" ht="15.75" x14ac:dyDescent="0.25">
      <c r="B39" s="212" t="s">
        <v>130</v>
      </c>
      <c r="C39" s="233">
        <f>G18</f>
        <v>149265.03999999998</v>
      </c>
      <c r="D39" s="233">
        <f>$F27+$F18</f>
        <v>174152.76149364587</v>
      </c>
      <c r="E39" s="234">
        <f t="shared" si="2"/>
        <v>-24887.721493645891</v>
      </c>
      <c r="F39" s="234">
        <f t="shared" si="3"/>
        <v>142864.69806228494</v>
      </c>
      <c r="G39" s="181" t="s">
        <v>223</v>
      </c>
    </row>
    <row r="40" spans="2:10" s="181" customFormat="1" ht="15.75" x14ac:dyDescent="0.25"/>
    <row r="41" spans="2:10" s="181" customFormat="1" ht="15.75" x14ac:dyDescent="0.25"/>
    <row r="42" spans="2:10" ht="15.75" x14ac:dyDescent="0.25">
      <c r="B42" s="232" t="s">
        <v>252</v>
      </c>
    </row>
    <row r="44" spans="2:10" ht="110.25" x14ac:dyDescent="0.25">
      <c r="B44" s="210" t="s">
        <v>133</v>
      </c>
      <c r="C44" s="211" t="s">
        <v>249</v>
      </c>
      <c r="D44" s="211" t="s">
        <v>194</v>
      </c>
      <c r="E44" s="223" t="s">
        <v>195</v>
      </c>
      <c r="F44" s="223" t="s">
        <v>196</v>
      </c>
    </row>
    <row r="45" spans="2:10" ht="15.75" x14ac:dyDescent="0.25">
      <c r="B45" s="212" t="s">
        <v>21</v>
      </c>
      <c r="C45" s="233">
        <f>($G14-$C14)+$I14</f>
        <v>138532.01722228999</v>
      </c>
      <c r="D45" s="233">
        <f>D66</f>
        <v>42223.957222290002</v>
      </c>
      <c r="E45" s="234">
        <f>C45-D45</f>
        <v>96308.059999999983</v>
      </c>
      <c r="F45" s="234">
        <f>E45</f>
        <v>96308.059999999983</v>
      </c>
      <c r="J45" s="312"/>
    </row>
    <row r="46" spans="2:10" ht="15.75" x14ac:dyDescent="0.25">
      <c r="B46" s="212" t="s">
        <v>22</v>
      </c>
      <c r="C46" s="233">
        <f t="shared" ref="C46:C49" si="4">($G15-$C15)+$I15</f>
        <v>161249.03999999998</v>
      </c>
      <c r="D46" s="233">
        <f>D67</f>
        <v>87560.656000000017</v>
      </c>
      <c r="E46" s="234">
        <f>C46-D46</f>
        <v>73688.383999999962</v>
      </c>
      <c r="F46" s="234">
        <f>F45+E46</f>
        <v>169996.44399999996</v>
      </c>
      <c r="J46" s="312"/>
    </row>
    <row r="47" spans="2:10" ht="15.75" x14ac:dyDescent="0.25">
      <c r="B47" s="212" t="s">
        <v>129</v>
      </c>
      <c r="C47" s="233">
        <f t="shared" si="4"/>
        <v>161411.03999999998</v>
      </c>
      <c r="D47" s="233">
        <f>D68</f>
        <v>126570.31750300449</v>
      </c>
      <c r="E47" s="234">
        <f t="shared" ref="E47:E49" si="5">C47-D47</f>
        <v>34840.722496995484</v>
      </c>
      <c r="F47" s="234">
        <f t="shared" ref="F47:F49" si="6">F46+E47</f>
        <v>204837.16649699543</v>
      </c>
      <c r="J47" s="312"/>
    </row>
    <row r="48" spans="2:10" ht="15.75" x14ac:dyDescent="0.25">
      <c r="B48" s="212" t="s">
        <v>23</v>
      </c>
      <c r="C48" s="233">
        <f t="shared" si="4"/>
        <v>161411.03999999998</v>
      </c>
      <c r="D48" s="233">
        <f>D69</f>
        <v>149911.78694106458</v>
      </c>
      <c r="E48" s="234">
        <f t="shared" si="5"/>
        <v>11499.253058935399</v>
      </c>
      <c r="F48" s="234">
        <f t="shared" si="6"/>
        <v>216336.41955593083</v>
      </c>
      <c r="J48" s="312"/>
    </row>
    <row r="49" spans="2:11" ht="15.75" x14ac:dyDescent="0.25">
      <c r="B49" s="212" t="s">
        <v>130</v>
      </c>
      <c r="C49" s="233">
        <f t="shared" si="4"/>
        <v>161411.03999999998</v>
      </c>
      <c r="D49" s="233">
        <f>D70</f>
        <v>174152.76149364587</v>
      </c>
      <c r="E49" s="234">
        <f t="shared" si="5"/>
        <v>-12741.721493645891</v>
      </c>
      <c r="F49" s="234">
        <f t="shared" si="6"/>
        <v>203594.69806228494</v>
      </c>
      <c r="G49" t="s">
        <v>250</v>
      </c>
      <c r="J49" s="312"/>
    </row>
    <row r="50" spans="2:11" ht="15.75" x14ac:dyDescent="0.25">
      <c r="B50" s="237"/>
      <c r="C50" s="238"/>
      <c r="D50" s="238"/>
      <c r="E50" s="238"/>
      <c r="F50" s="238"/>
    </row>
    <row r="51" spans="2:11" s="181" customFormat="1" ht="15.75" x14ac:dyDescent="0.25"/>
    <row r="52" spans="2:11" ht="15.75" x14ac:dyDescent="0.25">
      <c r="B52" s="232" t="s">
        <v>251</v>
      </c>
    </row>
    <row r="54" spans="2:11" ht="63" x14ac:dyDescent="0.25">
      <c r="B54" s="210" t="s">
        <v>133</v>
      </c>
      <c r="C54" s="211" t="s">
        <v>197</v>
      </c>
      <c r="D54" s="211" t="s">
        <v>194</v>
      </c>
      <c r="E54" s="223" t="s">
        <v>195</v>
      </c>
      <c r="F54" s="223" t="s">
        <v>196</v>
      </c>
    </row>
    <row r="55" spans="2:11" ht="15.75" x14ac:dyDescent="0.25">
      <c r="B55" s="212" t="s">
        <v>21</v>
      </c>
      <c r="C55" s="233">
        <f>($G14-$C14)+$H14</f>
        <v>111818.16722228998</v>
      </c>
      <c r="D55" s="233">
        <f>$F23+$F14</f>
        <v>42223.957222290002</v>
      </c>
      <c r="E55" s="234">
        <f>C55-D55</f>
        <v>69594.209999999977</v>
      </c>
      <c r="F55" s="234">
        <f>E55</f>
        <v>69594.209999999977</v>
      </c>
      <c r="G55" t="s">
        <v>253</v>
      </c>
      <c r="K55" s="312"/>
    </row>
    <row r="56" spans="2:11" ht="15.75" x14ac:dyDescent="0.25">
      <c r="B56" s="212" t="s">
        <v>22</v>
      </c>
      <c r="C56" s="233">
        <f t="shared" ref="C56:C58" si="7">($G15-$C15)+$H15</f>
        <v>147337.24</v>
      </c>
      <c r="D56" s="233">
        <f>$F24+$F15</f>
        <v>87560.656000000017</v>
      </c>
      <c r="E56" s="234">
        <f t="shared" ref="E56:E59" si="8">C56-D56</f>
        <v>59776.583999999973</v>
      </c>
      <c r="F56" s="234">
        <f>F55+E56</f>
        <v>129370.79399999995</v>
      </c>
      <c r="K56" s="312"/>
    </row>
    <row r="57" spans="2:11" ht="15.75" x14ac:dyDescent="0.25">
      <c r="B57" s="212" t="s">
        <v>129</v>
      </c>
      <c r="C57" s="233">
        <f t="shared" si="7"/>
        <v>147499.24</v>
      </c>
      <c r="D57" s="233">
        <f>$F25+$F16</f>
        <v>126570.31750300449</v>
      </c>
      <c r="E57" s="234">
        <f t="shared" si="8"/>
        <v>20928.922496995496</v>
      </c>
      <c r="F57" s="234">
        <f t="shared" ref="F57:F59" si="9">F56+E57</f>
        <v>150299.71649699545</v>
      </c>
      <c r="K57" s="312"/>
    </row>
    <row r="58" spans="2:11" ht="15.75" x14ac:dyDescent="0.25">
      <c r="B58" s="212" t="s">
        <v>23</v>
      </c>
      <c r="C58" s="233">
        <f t="shared" si="7"/>
        <v>147499.24</v>
      </c>
      <c r="D58" s="233">
        <f>$F26+$F17</f>
        <v>149911.78694106458</v>
      </c>
      <c r="E58" s="234">
        <f t="shared" si="8"/>
        <v>-2412.5469410645892</v>
      </c>
      <c r="F58" s="234">
        <f t="shared" si="9"/>
        <v>147887.16955593086</v>
      </c>
      <c r="G58" t="s">
        <v>254</v>
      </c>
      <c r="K58" s="312"/>
    </row>
    <row r="59" spans="2:11" ht="15.75" x14ac:dyDescent="0.25">
      <c r="B59" s="212" t="s">
        <v>130</v>
      </c>
      <c r="C59" s="233">
        <f>($G18-$C18)+$H18</f>
        <v>147499.24</v>
      </c>
      <c r="D59" s="233">
        <f>$F27+$F18</f>
        <v>174152.76149364587</v>
      </c>
      <c r="E59" s="234">
        <f t="shared" si="8"/>
        <v>-26653.52149364588</v>
      </c>
      <c r="F59" s="234">
        <f t="shared" si="9"/>
        <v>121233.64806228498</v>
      </c>
      <c r="G59" t="s">
        <v>255</v>
      </c>
      <c r="K59" s="312"/>
    </row>
    <row r="60" spans="2:11" x14ac:dyDescent="0.25">
      <c r="K60" s="312"/>
    </row>
    <row r="61" spans="2:11" s="181" customFormat="1" ht="15.75" x14ac:dyDescent="0.25"/>
    <row r="62" spans="2:11" s="181" customFormat="1" ht="15.75" x14ac:dyDescent="0.25"/>
    <row r="63" spans="2:11" ht="15.75" x14ac:dyDescent="0.25">
      <c r="B63" s="232" t="s">
        <v>256</v>
      </c>
    </row>
    <row r="65" spans="2:7" ht="63" x14ac:dyDescent="0.25">
      <c r="B65" s="210" t="s">
        <v>133</v>
      </c>
      <c r="C65" s="211" t="s">
        <v>199</v>
      </c>
      <c r="D65" s="211" t="s">
        <v>194</v>
      </c>
      <c r="E65" s="223" t="s">
        <v>195</v>
      </c>
      <c r="F65" s="223" t="s">
        <v>196</v>
      </c>
    </row>
    <row r="66" spans="2:7" ht="15.75" x14ac:dyDescent="0.25">
      <c r="B66" s="212" t="s">
        <v>21</v>
      </c>
      <c r="C66" s="233">
        <f>$G14+$I14</f>
        <v>191506.01722228999</v>
      </c>
      <c r="D66" s="233">
        <f>$F23+$F14</f>
        <v>42223.957222290002</v>
      </c>
      <c r="E66" s="234">
        <f>C66-D66</f>
        <v>149282.06</v>
      </c>
      <c r="F66" s="234">
        <f>E66</f>
        <v>149282.06</v>
      </c>
    </row>
    <row r="67" spans="2:7" ht="15.75" x14ac:dyDescent="0.25">
      <c r="B67" s="212" t="s">
        <v>22</v>
      </c>
      <c r="C67" s="233">
        <f>$G15+$I15</f>
        <v>214223.03999999998</v>
      </c>
      <c r="D67" s="233">
        <f>$F24+$F15</f>
        <v>87560.656000000017</v>
      </c>
      <c r="E67" s="234">
        <f>C67-D67</f>
        <v>126662.38399999996</v>
      </c>
      <c r="F67" s="234">
        <f>F66+E67</f>
        <v>275944.44399999996</v>
      </c>
    </row>
    <row r="68" spans="2:7" ht="15.75" x14ac:dyDescent="0.25">
      <c r="B68" s="212" t="s">
        <v>129</v>
      </c>
      <c r="C68" s="233">
        <f>$G16+$I16</f>
        <v>214385.03999999998</v>
      </c>
      <c r="D68" s="233">
        <f>$F25+$F16</f>
        <v>126570.31750300449</v>
      </c>
      <c r="E68" s="234">
        <f t="shared" ref="E68:E70" si="10">C68-D68</f>
        <v>87814.722496995484</v>
      </c>
      <c r="F68" s="234">
        <f t="shared" ref="F68:F70" si="11">F67+E68</f>
        <v>363759.16649699543</v>
      </c>
    </row>
    <row r="69" spans="2:7" ht="15.75" x14ac:dyDescent="0.25">
      <c r="B69" s="212" t="s">
        <v>23</v>
      </c>
      <c r="C69" s="233">
        <f>$G17+$I17</f>
        <v>214385.03999999998</v>
      </c>
      <c r="D69" s="233">
        <f>$F26+$F17</f>
        <v>149911.78694106458</v>
      </c>
      <c r="E69" s="234">
        <f t="shared" si="10"/>
        <v>64473.253058935399</v>
      </c>
      <c r="F69" s="234">
        <f t="shared" si="11"/>
        <v>428232.41955593083</v>
      </c>
    </row>
    <row r="70" spans="2:7" ht="15.75" x14ac:dyDescent="0.25">
      <c r="B70" s="212" t="s">
        <v>130</v>
      </c>
      <c r="C70" s="233">
        <f>$G18+$I18</f>
        <v>214385.03999999998</v>
      </c>
      <c r="D70" s="233">
        <f>$F27+$F18</f>
        <v>174152.76149364587</v>
      </c>
      <c r="E70" s="234">
        <f t="shared" si="10"/>
        <v>40232.278506354109</v>
      </c>
      <c r="F70" s="234">
        <f t="shared" si="11"/>
        <v>468464.69806228497</v>
      </c>
      <c r="G70" t="s">
        <v>247</v>
      </c>
    </row>
    <row r="71" spans="2:7" ht="15.75" x14ac:dyDescent="0.25">
      <c r="B71" s="237"/>
      <c r="C71" s="238"/>
      <c r="D71" s="238"/>
      <c r="E71" s="238"/>
      <c r="F71" s="238"/>
      <c r="G71" t="s">
        <v>248</v>
      </c>
    </row>
    <row r="72" spans="2:7" ht="15.75" x14ac:dyDescent="0.25">
      <c r="B72" s="237"/>
      <c r="C72" s="238"/>
      <c r="D72" s="238"/>
      <c r="E72" s="238"/>
      <c r="F72" s="238"/>
    </row>
    <row r="73" spans="2:7" s="181" customFormat="1" ht="15.75" x14ac:dyDescent="0.25"/>
    <row r="74" spans="2:7" ht="15.75" x14ac:dyDescent="0.25">
      <c r="B74" s="232" t="s">
        <v>280</v>
      </c>
    </row>
    <row r="76" spans="2:7" ht="63" x14ac:dyDescent="0.25">
      <c r="B76" s="210" t="s">
        <v>133</v>
      </c>
      <c r="C76" s="211" t="s">
        <v>197</v>
      </c>
      <c r="D76" s="211" t="s">
        <v>194</v>
      </c>
      <c r="E76" s="223" t="s">
        <v>195</v>
      </c>
      <c r="F76" s="223" t="s">
        <v>196</v>
      </c>
    </row>
    <row r="77" spans="2:7" ht="15.75" x14ac:dyDescent="0.25">
      <c r="B77" s="212" t="s">
        <v>21</v>
      </c>
      <c r="C77" s="233">
        <f>$G14+$H14</f>
        <v>164792.16722228998</v>
      </c>
      <c r="D77" s="233">
        <f>$F23+$F14</f>
        <v>42223.957222290002</v>
      </c>
      <c r="E77" s="234">
        <f>C77-D77</f>
        <v>122568.20999999998</v>
      </c>
      <c r="F77" s="234">
        <f>E77</f>
        <v>122568.20999999998</v>
      </c>
    </row>
    <row r="78" spans="2:7" ht="15.75" x14ac:dyDescent="0.25">
      <c r="B78" s="212" t="s">
        <v>22</v>
      </c>
      <c r="C78" s="233">
        <f t="shared" ref="C78:C81" si="12">$G15+$H15</f>
        <v>200311.24</v>
      </c>
      <c r="D78" s="233">
        <f t="shared" ref="D78:D81" si="13">$F24+$F15</f>
        <v>87560.656000000017</v>
      </c>
      <c r="E78" s="234">
        <f>C78-D78</f>
        <v>112750.58399999997</v>
      </c>
      <c r="F78" s="234">
        <f>F77+E78</f>
        <v>235318.79399999994</v>
      </c>
    </row>
    <row r="79" spans="2:7" ht="15.75" x14ac:dyDescent="0.25">
      <c r="B79" s="212" t="s">
        <v>129</v>
      </c>
      <c r="C79" s="233">
        <f t="shared" si="12"/>
        <v>200473.24</v>
      </c>
      <c r="D79" s="233">
        <f t="shared" si="13"/>
        <v>126570.31750300449</v>
      </c>
      <c r="E79" s="234">
        <f t="shared" ref="E79:E81" si="14">C79-D79</f>
        <v>73902.922496995496</v>
      </c>
      <c r="F79" s="234">
        <f t="shared" ref="F79:F81" si="15">F78+E79</f>
        <v>309221.71649699542</v>
      </c>
    </row>
    <row r="80" spans="2:7" ht="15.75" x14ac:dyDescent="0.25">
      <c r="B80" s="212" t="s">
        <v>23</v>
      </c>
      <c r="C80" s="233">
        <f t="shared" si="12"/>
        <v>200473.24</v>
      </c>
      <c r="D80" s="233">
        <f t="shared" si="13"/>
        <v>149911.78694106458</v>
      </c>
      <c r="E80" s="234">
        <f t="shared" si="14"/>
        <v>50561.453058935411</v>
      </c>
      <c r="F80" s="234">
        <f t="shared" si="15"/>
        <v>359783.16955593083</v>
      </c>
    </row>
    <row r="81" spans="2:6" ht="15.75" x14ac:dyDescent="0.25">
      <c r="B81" s="212" t="s">
        <v>130</v>
      </c>
      <c r="C81" s="233">
        <f t="shared" si="12"/>
        <v>200473.24</v>
      </c>
      <c r="D81" s="233">
        <f t="shared" si="13"/>
        <v>174152.76149364587</v>
      </c>
      <c r="E81" s="234">
        <f t="shared" si="14"/>
        <v>26320.47850635412</v>
      </c>
      <c r="F81" s="234">
        <f t="shared" si="15"/>
        <v>386103.64806228492</v>
      </c>
    </row>
    <row r="84" spans="2:6" ht="15.75" x14ac:dyDescent="0.25">
      <c r="B84" s="237"/>
      <c r="C84" s="238"/>
      <c r="D84" s="238"/>
      <c r="E84" s="238"/>
      <c r="F84" s="238"/>
    </row>
    <row r="85" spans="2:6" ht="15.75" x14ac:dyDescent="0.25">
      <c r="B85" s="232" t="s">
        <v>281</v>
      </c>
    </row>
    <row r="87" spans="2:6" ht="63" x14ac:dyDescent="0.25">
      <c r="B87" s="210" t="s">
        <v>133</v>
      </c>
      <c r="C87" s="211" t="s">
        <v>198</v>
      </c>
      <c r="D87" s="211" t="s">
        <v>194</v>
      </c>
      <c r="E87" s="223" t="s">
        <v>195</v>
      </c>
      <c r="F87" s="223" t="s">
        <v>196</v>
      </c>
    </row>
    <row r="88" spans="2:6" ht="15.75" x14ac:dyDescent="0.25">
      <c r="B88" s="212" t="s">
        <v>21</v>
      </c>
      <c r="C88" s="233">
        <f>$J14</f>
        <v>229912.16722228998</v>
      </c>
      <c r="D88" s="233">
        <f>$F23+$F14</f>
        <v>42223.957222290002</v>
      </c>
      <c r="E88" s="234">
        <f>C88-D88</f>
        <v>187688.20999999996</v>
      </c>
      <c r="F88" s="234">
        <f>E88</f>
        <v>187688.20999999996</v>
      </c>
    </row>
    <row r="89" spans="2:6" ht="15.75" x14ac:dyDescent="0.25">
      <c r="B89" s="212" t="s">
        <v>22</v>
      </c>
      <c r="C89" s="233">
        <f>$J15</f>
        <v>265431.24</v>
      </c>
      <c r="D89" s="233">
        <f>$F24+$F15</f>
        <v>87560.656000000017</v>
      </c>
      <c r="E89" s="234">
        <f t="shared" ref="E89:E92" si="16">C89-D89</f>
        <v>177870.58399999997</v>
      </c>
      <c r="F89" s="234">
        <f>F88+E89</f>
        <v>365558.79399999994</v>
      </c>
    </row>
    <row r="90" spans="2:6" ht="15.75" x14ac:dyDescent="0.25">
      <c r="B90" s="212" t="s">
        <v>129</v>
      </c>
      <c r="C90" s="233">
        <f>$J16</f>
        <v>265593.24</v>
      </c>
      <c r="D90" s="233">
        <f>$F25+$F16</f>
        <v>126570.31750300449</v>
      </c>
      <c r="E90" s="234">
        <f t="shared" si="16"/>
        <v>139022.92249699548</v>
      </c>
      <c r="F90" s="234">
        <f t="shared" ref="F90:F92" si="17">F89+E90</f>
        <v>504581.71649699542</v>
      </c>
    </row>
    <row r="91" spans="2:6" ht="15.75" x14ac:dyDescent="0.25">
      <c r="B91" s="212" t="s">
        <v>23</v>
      </c>
      <c r="C91" s="233">
        <f>$J17</f>
        <v>265593.24</v>
      </c>
      <c r="D91" s="233">
        <f>$F26+$F17</f>
        <v>149911.78694106458</v>
      </c>
      <c r="E91" s="234">
        <f t="shared" si="16"/>
        <v>115681.45305893541</v>
      </c>
      <c r="F91" s="234">
        <f t="shared" si="17"/>
        <v>620263.16955593089</v>
      </c>
    </row>
    <row r="92" spans="2:6" ht="15.75" x14ac:dyDescent="0.25">
      <c r="B92" s="212" t="s">
        <v>130</v>
      </c>
      <c r="C92" s="233">
        <f>$J18</f>
        <v>265593.24</v>
      </c>
      <c r="D92" s="233">
        <f>$F27+$F18</f>
        <v>174152.76149364587</v>
      </c>
      <c r="E92" s="234">
        <f t="shared" si="16"/>
        <v>91440.47850635412</v>
      </c>
      <c r="F92" s="234">
        <f t="shared" si="17"/>
        <v>711703.64806228504</v>
      </c>
    </row>
  </sheetData>
  <customSheetViews>
    <customSheetView guid="{3A3D6D3D-C242-4ACD-A854-603FFD99C5F9}" showPageBreaks="1" fitToPage="1" hiddenRows="1">
      <selection activeCell="A19" sqref="A19"/>
      <rowBreaks count="1" manualBreakCount="1">
        <brk id="29" max="16383" man="1"/>
      </rowBreaks>
      <pageMargins left="0.7" right="0.7" top="0.75" bottom="0.75" header="0.3" footer="0.3"/>
      <pageSetup paperSize="9" scale="64" fitToHeight="0" orientation="landscape" r:id="rId1"/>
    </customSheetView>
  </customSheetViews>
  <mergeCells count="1">
    <mergeCell ref="B3:C3"/>
  </mergeCells>
  <pageMargins left="0.7" right="0.7" top="0.75" bottom="0.75" header="0.3" footer="0.3"/>
  <pageSetup paperSize="9" scale="64" fitToHeight="0" orientation="landscape" r:id="rId2"/>
  <rowBreaks count="1" manualBreakCount="1">
    <brk id="29" max="16383"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6"/>
  <sheetViews>
    <sheetView workbookViewId="0">
      <selection activeCell="G34" sqref="G34"/>
    </sheetView>
  </sheetViews>
  <sheetFormatPr defaultRowHeight="15" x14ac:dyDescent="0.25"/>
  <cols>
    <col min="2" max="2" width="27.7109375" customWidth="1"/>
    <col min="3" max="3" width="17.85546875" customWidth="1"/>
    <col min="4" max="4" width="15.85546875" customWidth="1"/>
    <col min="5" max="5" width="17" customWidth="1"/>
    <col min="6" max="6" width="15.7109375" customWidth="1"/>
    <col min="7" max="7" width="20.85546875" customWidth="1"/>
    <col min="8" max="8" width="22.42578125" customWidth="1"/>
    <col min="9" max="9" width="19.42578125" customWidth="1"/>
    <col min="10" max="10" width="23" customWidth="1"/>
    <col min="11" max="11" width="22" customWidth="1"/>
    <col min="12" max="12" width="14.42578125" customWidth="1"/>
    <col min="13" max="14" width="18.85546875" customWidth="1"/>
    <col min="15" max="15" width="18.140625" customWidth="1"/>
    <col min="16" max="16" width="19" customWidth="1"/>
    <col min="17" max="18" width="17.5703125" customWidth="1"/>
    <col min="19" max="19" width="18.140625" customWidth="1"/>
    <col min="20" max="20" width="15.5703125" customWidth="1"/>
  </cols>
  <sheetData>
    <row r="1" spans="2:13" x14ac:dyDescent="0.25">
      <c r="B1" s="174"/>
      <c r="C1" s="173"/>
      <c r="D1" s="173"/>
      <c r="E1" s="173"/>
      <c r="F1" s="173"/>
      <c r="G1" s="173"/>
    </row>
    <row r="2" spans="2:13" x14ac:dyDescent="0.25">
      <c r="B2" s="174"/>
      <c r="C2" s="173"/>
      <c r="D2" s="173"/>
      <c r="E2" s="173"/>
      <c r="F2" s="173"/>
      <c r="G2" s="173"/>
    </row>
    <row r="3" spans="2:13" x14ac:dyDescent="0.25">
      <c r="B3" s="174"/>
    </row>
    <row r="4" spans="2:13" x14ac:dyDescent="0.25">
      <c r="B4" s="174"/>
    </row>
    <row r="5" spans="2:13" x14ac:dyDescent="0.25">
      <c r="B5" s="174"/>
    </row>
    <row r="6" spans="2:13" ht="15.75" thickBot="1" x14ac:dyDescent="0.3">
      <c r="B6" s="174"/>
    </row>
    <row r="7" spans="2:13" ht="23.25" customHeight="1" thickBot="1" x14ac:dyDescent="0.3">
      <c r="B7" s="104" t="s">
        <v>20</v>
      </c>
      <c r="C7" s="11"/>
      <c r="D7" s="348" t="s">
        <v>95</v>
      </c>
      <c r="E7" s="349"/>
      <c r="F7" s="349"/>
      <c r="G7" s="350"/>
      <c r="H7" s="358" t="s">
        <v>131</v>
      </c>
      <c r="I7" s="360" t="s">
        <v>74</v>
      </c>
      <c r="J7" s="25" t="s">
        <v>46</v>
      </c>
      <c r="K7" s="71" t="s">
        <v>76</v>
      </c>
    </row>
    <row r="8" spans="2:13" ht="27.75" customHeight="1" x14ac:dyDescent="0.25">
      <c r="B8" s="105"/>
      <c r="C8" s="10"/>
      <c r="D8" s="15" t="s">
        <v>62</v>
      </c>
      <c r="E8" s="26" t="s">
        <v>100</v>
      </c>
      <c r="F8" s="26" t="s">
        <v>61</v>
      </c>
      <c r="G8" s="126" t="s">
        <v>63</v>
      </c>
      <c r="H8" s="359"/>
      <c r="I8" s="361"/>
      <c r="J8" s="26" t="s">
        <v>24</v>
      </c>
      <c r="K8" s="126" t="s">
        <v>77</v>
      </c>
      <c r="L8" s="178"/>
      <c r="M8" s="178"/>
    </row>
    <row r="9" spans="2:13" x14ac:dyDescent="0.25">
      <c r="B9" s="105"/>
      <c r="C9" s="10"/>
      <c r="D9" s="12"/>
      <c r="E9" s="10"/>
      <c r="F9" s="10"/>
      <c r="G9" s="13"/>
      <c r="H9" s="10"/>
      <c r="I9" s="79"/>
      <c r="J9" s="10"/>
      <c r="K9" s="13"/>
    </row>
    <row r="10" spans="2:13" x14ac:dyDescent="0.25">
      <c r="B10" s="105" t="s">
        <v>21</v>
      </c>
      <c r="C10" s="10"/>
      <c r="D10" s="100">
        <v>0</v>
      </c>
      <c r="E10" s="85">
        <v>0</v>
      </c>
      <c r="F10" s="85">
        <v>1</v>
      </c>
      <c r="G10" s="101">
        <v>0</v>
      </c>
      <c r="H10" s="27">
        <f>(D10*$D$21+E10*$D$20+F10*$D$21+G10*$D$21)*75%</f>
        <v>10912.050000000001</v>
      </c>
      <c r="I10" s="80">
        <f>C40/50000*H10</f>
        <v>7707.3991560000004</v>
      </c>
      <c r="J10" s="26">
        <v>1</v>
      </c>
      <c r="K10" s="78">
        <f>J10*'Social Prescribing "100%"'!H24</f>
        <v>0</v>
      </c>
      <c r="L10" s="22"/>
      <c r="M10" s="174"/>
    </row>
    <row r="11" spans="2:13" x14ac:dyDescent="0.25">
      <c r="B11" s="105" t="s">
        <v>22</v>
      </c>
      <c r="C11" s="10"/>
      <c r="D11" s="100">
        <v>0</v>
      </c>
      <c r="E11" s="85">
        <v>0</v>
      </c>
      <c r="F11" s="85">
        <v>2</v>
      </c>
      <c r="G11" s="101">
        <v>0</v>
      </c>
      <c r="H11" s="27">
        <f>(D11*$D$21+E11*$D$20+F11*$D$21+G11*$D$21)*(100%+$C$24)</f>
        <v>29680.776000000005</v>
      </c>
      <c r="I11" s="80">
        <f>$C$40/50000*H11</f>
        <v>20964.125704320002</v>
      </c>
      <c r="J11" s="26">
        <v>2</v>
      </c>
      <c r="K11" s="78">
        <f>J11*'Social Prescribing "100%"'!I25</f>
        <v>0</v>
      </c>
      <c r="L11" s="21"/>
    </row>
    <row r="12" spans="2:13" x14ac:dyDescent="0.25">
      <c r="B12" s="105" t="s">
        <v>129</v>
      </c>
      <c r="C12" s="10"/>
      <c r="D12" s="100">
        <v>1</v>
      </c>
      <c r="E12" s="85">
        <v>0</v>
      </c>
      <c r="F12" s="85">
        <v>3</v>
      </c>
      <c r="G12" s="101">
        <v>1</v>
      </c>
      <c r="H12" s="27">
        <f>(D12*$D$21+E12*$D$20+F12*$D$21+G12*$D$21)*(100%+$C$24)^2</f>
        <v>75685.978799999997</v>
      </c>
      <c r="I12" s="80">
        <f>$C$40/50000*H12</f>
        <v>53458.520546015992</v>
      </c>
      <c r="J12" s="26">
        <v>2</v>
      </c>
      <c r="K12" s="78">
        <f>J12*'Social Prescribing "100%"'!H26</f>
        <v>0</v>
      </c>
      <c r="L12" s="21"/>
    </row>
    <row r="13" spans="2:13" x14ac:dyDescent="0.25">
      <c r="B13" s="105" t="s">
        <v>23</v>
      </c>
      <c r="C13" s="10"/>
      <c r="D13" s="100">
        <v>2</v>
      </c>
      <c r="E13" s="85">
        <v>1</v>
      </c>
      <c r="F13" s="85">
        <v>4</v>
      </c>
      <c r="G13" s="101">
        <v>1</v>
      </c>
      <c r="H13" s="27">
        <f>(D13*$D$21+E13*$D$20+F13*$D$21+G13*$D$21)*(100%+$C$24)^3</f>
        <v>121023.96645306457</v>
      </c>
      <c r="I13" s="80">
        <f>$C$40/50000*H13</f>
        <v>85481.647985128555</v>
      </c>
      <c r="J13" s="26">
        <v>3</v>
      </c>
      <c r="K13" s="78">
        <f>J13*'Social Prescribing "100%"'!H27</f>
        <v>2012.0752999677061</v>
      </c>
      <c r="L13" s="21"/>
    </row>
    <row r="14" spans="2:13" ht="17.25" customHeight="1" thickBot="1" x14ac:dyDescent="0.3">
      <c r="B14" s="106" t="s">
        <v>130</v>
      </c>
      <c r="C14" s="81"/>
      <c r="D14" s="102">
        <v>3</v>
      </c>
      <c r="E14" s="86">
        <v>1</v>
      </c>
      <c r="F14" s="86">
        <v>5</v>
      </c>
      <c r="G14" s="103">
        <v>2</v>
      </c>
      <c r="H14" s="82">
        <f>(D14*$D$21+E14*$D$20+F14*$D$21+G14*$D$21)*(100%+$C$24)^4</f>
        <v>170690.66118823786</v>
      </c>
      <c r="I14" s="83">
        <f>$C$40/50000*H14</f>
        <v>120562.22781047616</v>
      </c>
      <c r="J14" s="35">
        <v>3</v>
      </c>
      <c r="K14" s="84">
        <f>J14*'Social Prescribing "100%"'!H28</f>
        <v>6151.4136119341165</v>
      </c>
      <c r="L14" s="21"/>
    </row>
    <row r="15" spans="2:13" ht="19.5" customHeight="1" x14ac:dyDescent="0.25">
      <c r="F15" s="14"/>
      <c r="H15" s="21"/>
      <c r="I15" s="14"/>
      <c r="J15" s="21"/>
      <c r="K15" s="21"/>
    </row>
    <row r="16" spans="2:13" ht="19.5" customHeight="1" x14ac:dyDescent="0.25">
      <c r="F16" s="351" t="s">
        <v>121</v>
      </c>
      <c r="G16" s="352"/>
      <c r="H16" s="352"/>
      <c r="I16" s="14"/>
      <c r="J16" s="21"/>
      <c r="K16" s="21"/>
    </row>
    <row r="17" spans="2:11" ht="24.75" customHeight="1" thickBot="1" x14ac:dyDescent="0.3">
      <c r="B17" s="141" t="s">
        <v>110</v>
      </c>
      <c r="F17" s="352"/>
      <c r="G17" s="352"/>
      <c r="H17" s="352"/>
      <c r="I17" s="14"/>
      <c r="J17" s="21"/>
      <c r="K17" s="21"/>
    </row>
    <row r="18" spans="2:11" ht="15" customHeight="1" x14ac:dyDescent="0.25">
      <c r="B18" s="108" t="s">
        <v>67</v>
      </c>
      <c r="C18" s="109" t="s">
        <v>0</v>
      </c>
      <c r="D18" s="110" t="s">
        <v>73</v>
      </c>
      <c r="F18" s="352"/>
      <c r="G18" s="352"/>
      <c r="H18" s="352"/>
      <c r="I18" s="14"/>
      <c r="J18" s="21"/>
      <c r="K18" s="21"/>
    </row>
    <row r="19" spans="2:11" x14ac:dyDescent="0.25">
      <c r="B19" s="111" t="s">
        <v>64</v>
      </c>
      <c r="C19" s="107">
        <f>'A4C Pay Bands (pharm ACP etc)'!$D$9</f>
        <v>26220</v>
      </c>
      <c r="D19" s="112">
        <v>0</v>
      </c>
      <c r="E19" t="s">
        <v>84</v>
      </c>
      <c r="F19" s="352"/>
      <c r="G19" s="352"/>
      <c r="H19" s="352"/>
      <c r="I19" s="14"/>
      <c r="J19" s="21"/>
      <c r="K19" s="21"/>
    </row>
    <row r="20" spans="2:11" x14ac:dyDescent="0.25">
      <c r="B20" s="111" t="s">
        <v>65</v>
      </c>
      <c r="C20" s="107">
        <f>'A4C Pay Bands (pharm ACP etc)'!$D$17</f>
        <v>32525</v>
      </c>
      <c r="D20" s="112">
        <f>'A4C Pay Bands (pharm ACP etc)'!$K$17</f>
        <v>12197.786604195004</v>
      </c>
      <c r="E20" t="s">
        <v>93</v>
      </c>
      <c r="F20" s="14"/>
      <c r="H20" s="21"/>
      <c r="I20" s="14"/>
      <c r="J20" s="21"/>
      <c r="K20" s="21"/>
    </row>
    <row r="21" spans="2:11" ht="15.75" thickBot="1" x14ac:dyDescent="0.3">
      <c r="B21" s="113" t="s">
        <v>66</v>
      </c>
      <c r="C21" s="114">
        <f>'A4C Pay Bands (pharm ACP etc)'!$D$26</f>
        <v>38765</v>
      </c>
      <c r="D21" s="115">
        <f>'A4C Pay Bands (pharm ACP etc)'!$K$26</f>
        <v>14549.400000000001</v>
      </c>
      <c r="E21" t="s">
        <v>94</v>
      </c>
      <c r="F21" s="14"/>
      <c r="H21" s="21"/>
      <c r="I21" s="14"/>
      <c r="J21" s="21"/>
      <c r="K21" s="21"/>
    </row>
    <row r="22" spans="2:11" x14ac:dyDescent="0.25">
      <c r="F22" s="14"/>
      <c r="H22" s="21"/>
      <c r="I22" s="14"/>
      <c r="J22" s="21"/>
      <c r="K22" s="21"/>
    </row>
    <row r="24" spans="2:11" ht="23.25" x14ac:dyDescent="0.35">
      <c r="B24" s="99" t="s">
        <v>45</v>
      </c>
      <c r="C24" s="116">
        <v>0.02</v>
      </c>
      <c r="D24" s="142" t="s">
        <v>96</v>
      </c>
      <c r="E24" s="48"/>
    </row>
    <row r="25" spans="2:11" ht="23.25" x14ac:dyDescent="0.35">
      <c r="B25" s="99"/>
      <c r="C25" s="131"/>
      <c r="D25" s="47"/>
      <c r="E25" s="48"/>
    </row>
    <row r="26" spans="2:11" x14ac:dyDescent="0.25">
      <c r="B26" s="34"/>
    </row>
    <row r="27" spans="2:11" ht="28.5" x14ac:dyDescent="0.45">
      <c r="B27" s="128" t="s">
        <v>102</v>
      </c>
    </row>
    <row r="28" spans="2:11" ht="21.75" thickBot="1" x14ac:dyDescent="0.4">
      <c r="B28" s="49" t="s">
        <v>122</v>
      </c>
      <c r="C28" s="95"/>
      <c r="D28" s="45"/>
      <c r="E28" s="45"/>
      <c r="F28" s="45"/>
      <c r="G28" s="45"/>
      <c r="H28" s="45"/>
      <c r="I28" s="45"/>
      <c r="J28" s="45"/>
      <c r="K28" s="45"/>
    </row>
    <row r="29" spans="2:11" ht="15.75" thickBot="1" x14ac:dyDescent="0.3">
      <c r="B29" s="16" t="s">
        <v>108</v>
      </c>
      <c r="C29" s="96"/>
      <c r="D29" s="119"/>
      <c r="E29" s="342" t="s">
        <v>47</v>
      </c>
      <c r="F29" s="343"/>
      <c r="G29" s="344"/>
      <c r="H29" s="342" t="s">
        <v>69</v>
      </c>
      <c r="I29" s="343"/>
      <c r="J29" s="344"/>
    </row>
    <row r="30" spans="2:11" ht="15.75" thickBot="1" x14ac:dyDescent="0.3">
      <c r="B30" s="16"/>
      <c r="C30" s="97"/>
      <c r="D30" s="362" t="s">
        <v>91</v>
      </c>
      <c r="E30" s="345"/>
      <c r="F30" s="346"/>
      <c r="G30" s="347"/>
      <c r="H30" s="345"/>
      <c r="I30" s="346"/>
      <c r="J30" s="347"/>
    </row>
    <row r="31" spans="2:11" ht="16.5" thickBot="1" x14ac:dyDescent="0.3">
      <c r="B31" s="17"/>
      <c r="C31" s="117" t="s">
        <v>30</v>
      </c>
      <c r="D31" s="363"/>
      <c r="E31" s="120" t="s">
        <v>68</v>
      </c>
      <c r="F31" s="121" t="s">
        <v>92</v>
      </c>
      <c r="G31" s="122" t="s">
        <v>98</v>
      </c>
      <c r="H31" s="120" t="s">
        <v>68</v>
      </c>
      <c r="I31" s="121" t="s">
        <v>92</v>
      </c>
      <c r="J31" s="122" t="s">
        <v>98</v>
      </c>
    </row>
    <row r="32" spans="2:11" x14ac:dyDescent="0.25">
      <c r="B32" s="136" t="s">
        <v>124</v>
      </c>
      <c r="C32" s="124">
        <v>11162</v>
      </c>
      <c r="D32" s="90">
        <f>'PCN Funding streams'!$D$9*C32</f>
        <v>19645.12</v>
      </c>
      <c r="E32" s="91">
        <f t="shared" ref="E32:E39" si="0">$I$10*$C32/$C$40</f>
        <v>2436.006042</v>
      </c>
      <c r="F32" s="92">
        <f>$J$10*'Social Prescribing "100%"'!$H$24/$C$40*$C32</f>
        <v>0</v>
      </c>
      <c r="G32" s="93">
        <f t="shared" ref="G32:G39" si="1">D32-F32-E32</f>
        <v>17209.113957999998</v>
      </c>
      <c r="H32" s="91">
        <f t="shared" ref="H32:H39" si="2">$I$11*$C32/$C$40</f>
        <v>6625.9364342400004</v>
      </c>
      <c r="I32" s="92">
        <f>$J$11*'Social Prescribing "100%"'!$H$25/$C$40*$C32</f>
        <v>0</v>
      </c>
      <c r="J32" s="92">
        <f t="shared" ref="J32:J39" si="3">D32-H32-I32</f>
        <v>13019.183565759999</v>
      </c>
    </row>
    <row r="33" spans="2:11" x14ac:dyDescent="0.25">
      <c r="B33" s="136" t="s">
        <v>125</v>
      </c>
      <c r="C33" s="124">
        <v>10754</v>
      </c>
      <c r="D33" s="90">
        <f>'PCN Funding streams'!$D$9*C33</f>
        <v>18927.04</v>
      </c>
      <c r="E33" s="91">
        <f t="shared" si="0"/>
        <v>2346.963714</v>
      </c>
      <c r="F33" s="92">
        <f>$J$10*'Social Prescribing "100%"'!$H$24/$C$40*$C33</f>
        <v>0</v>
      </c>
      <c r="G33" s="93">
        <f t="shared" si="1"/>
        <v>16580.076286</v>
      </c>
      <c r="H33" s="91">
        <f t="shared" si="2"/>
        <v>6383.7413020800013</v>
      </c>
      <c r="I33" s="92">
        <f>$J$11*'Social Prescribing "100%"'!$H$25/$C$40*$C33</f>
        <v>0</v>
      </c>
      <c r="J33" s="92">
        <f t="shared" si="3"/>
        <v>12543.29869792</v>
      </c>
    </row>
    <row r="34" spans="2:11" x14ac:dyDescent="0.25">
      <c r="B34" s="136" t="s">
        <v>126</v>
      </c>
      <c r="C34" s="124">
        <v>13400</v>
      </c>
      <c r="D34" s="90">
        <f>'PCN Funding streams'!$D$9*C34</f>
        <v>23584</v>
      </c>
      <c r="E34" s="91">
        <f t="shared" si="0"/>
        <v>2924.4294</v>
      </c>
      <c r="F34" s="92">
        <f>$J$10*'Social Prescribing "100%"'!$H$24/$C$40*$C34</f>
        <v>0</v>
      </c>
      <c r="G34" s="93">
        <f t="shared" si="1"/>
        <v>20659.570599999999</v>
      </c>
      <c r="H34" s="91">
        <f t="shared" si="2"/>
        <v>7954.4479680000004</v>
      </c>
      <c r="I34" s="92">
        <f>$J$11*'Social Prescribing "100%"'!$H$25/$C$40*$C34</f>
        <v>0</v>
      </c>
      <c r="J34" s="92">
        <f t="shared" si="3"/>
        <v>15629.552032</v>
      </c>
    </row>
    <row r="35" spans="2:11" x14ac:dyDescent="0.25">
      <c r="B35" s="136" t="s">
        <v>25</v>
      </c>
      <c r="C35" s="124">
        <v>0</v>
      </c>
      <c r="D35" s="90">
        <f>'PCN Funding streams'!$D$9*C35</f>
        <v>0</v>
      </c>
      <c r="E35" s="91">
        <f t="shared" si="0"/>
        <v>0</v>
      </c>
      <c r="F35" s="92">
        <f>$J$10*'Social Prescribing "100%"'!$H$24/$C$40*$C35</f>
        <v>0</v>
      </c>
      <c r="G35" s="93">
        <f t="shared" si="1"/>
        <v>0</v>
      </c>
      <c r="H35" s="91">
        <f t="shared" si="2"/>
        <v>0</v>
      </c>
      <c r="I35" s="92">
        <f>$J$11*'Social Prescribing "100%"'!$H$25/$C$40*$C35</f>
        <v>0</v>
      </c>
      <c r="J35" s="92">
        <f t="shared" si="3"/>
        <v>0</v>
      </c>
    </row>
    <row r="36" spans="2:11" x14ac:dyDescent="0.25">
      <c r="B36" s="136" t="s">
        <v>26</v>
      </c>
      <c r="C36" s="124">
        <v>0</v>
      </c>
      <c r="D36" s="90">
        <f>'PCN Funding streams'!$D$9*C36</f>
        <v>0</v>
      </c>
      <c r="E36" s="91">
        <f t="shared" si="0"/>
        <v>0</v>
      </c>
      <c r="F36" s="92">
        <f>$J$10*'Social Prescribing "100%"'!$H$24/$C$40*$C36</f>
        <v>0</v>
      </c>
      <c r="G36" s="93">
        <f t="shared" si="1"/>
        <v>0</v>
      </c>
      <c r="H36" s="91">
        <f t="shared" si="2"/>
        <v>0</v>
      </c>
      <c r="I36" s="92">
        <f>$J$11*'Social Prescribing "100%"'!$H$25/$C$40*$C36</f>
        <v>0</v>
      </c>
      <c r="J36" s="92">
        <f t="shared" si="3"/>
        <v>0</v>
      </c>
    </row>
    <row r="37" spans="2:11" x14ac:dyDescent="0.25">
      <c r="B37" s="136" t="s">
        <v>27</v>
      </c>
      <c r="C37" s="124">
        <v>0</v>
      </c>
      <c r="D37" s="90">
        <f>'PCN Funding streams'!$D$9*C37</f>
        <v>0</v>
      </c>
      <c r="E37" s="91">
        <f t="shared" si="0"/>
        <v>0</v>
      </c>
      <c r="F37" s="92">
        <f>$J$10*'Social Prescribing "100%"'!$H$24/$C$40*$C37</f>
        <v>0</v>
      </c>
      <c r="G37" s="93">
        <f t="shared" si="1"/>
        <v>0</v>
      </c>
      <c r="H37" s="91">
        <f t="shared" si="2"/>
        <v>0</v>
      </c>
      <c r="I37" s="92">
        <f>$J$11*'Social Prescribing "100%"'!$H$25/$C$40*$C37</f>
        <v>0</v>
      </c>
      <c r="J37" s="92">
        <f t="shared" si="3"/>
        <v>0</v>
      </c>
    </row>
    <row r="38" spans="2:11" x14ac:dyDescent="0.25">
      <c r="B38" s="136" t="s">
        <v>28</v>
      </c>
      <c r="C38" s="124">
        <v>0</v>
      </c>
      <c r="D38" s="90">
        <f>'PCN Funding streams'!$D$9*C38</f>
        <v>0</v>
      </c>
      <c r="E38" s="91">
        <f t="shared" si="0"/>
        <v>0</v>
      </c>
      <c r="F38" s="92">
        <f>$J$10*'Social Prescribing "100%"'!$H$24/$C$40*$C38</f>
        <v>0</v>
      </c>
      <c r="G38" s="93">
        <f t="shared" si="1"/>
        <v>0</v>
      </c>
      <c r="H38" s="91">
        <f t="shared" si="2"/>
        <v>0</v>
      </c>
      <c r="I38" s="92">
        <f>$J$11*'Social Prescribing "100%"'!$H$25/$C$40*$C38</f>
        <v>0</v>
      </c>
      <c r="J38" s="92">
        <f t="shared" si="3"/>
        <v>0</v>
      </c>
    </row>
    <row r="39" spans="2:11" ht="15.75" thickBot="1" x14ac:dyDescent="0.3">
      <c r="B39" s="136" t="s">
        <v>29</v>
      </c>
      <c r="C39" s="124">
        <v>0</v>
      </c>
      <c r="D39" s="94">
        <f>'PCN Funding streams'!$D$9*C39</f>
        <v>0</v>
      </c>
      <c r="E39" s="87">
        <f t="shared" si="0"/>
        <v>0</v>
      </c>
      <c r="F39" s="88">
        <f>$J$10*'Social Prescribing "100%"'!$H$24/$C$40*$C39</f>
        <v>0</v>
      </c>
      <c r="G39" s="89">
        <f t="shared" si="1"/>
        <v>0</v>
      </c>
      <c r="H39" s="87">
        <f t="shared" si="2"/>
        <v>0</v>
      </c>
      <c r="I39" s="88">
        <f>$J$11*'Social Prescribing "100%"'!$H$25/$C$40*$C39</f>
        <v>0</v>
      </c>
      <c r="J39" s="88">
        <f t="shared" si="3"/>
        <v>0</v>
      </c>
    </row>
    <row r="40" spans="2:11" ht="15.75" thickBot="1" x14ac:dyDescent="0.3">
      <c r="B40" s="138" t="s">
        <v>31</v>
      </c>
      <c r="C40" s="140">
        <f>SUM(C32:C39)</f>
        <v>35316</v>
      </c>
      <c r="D40" s="60"/>
      <c r="E40" s="60"/>
      <c r="F40" s="45"/>
      <c r="G40" s="45"/>
      <c r="H40" s="45"/>
      <c r="I40" s="45"/>
      <c r="J40" s="45"/>
      <c r="K40" s="45"/>
    </row>
    <row r="41" spans="2:11" x14ac:dyDescent="0.25">
      <c r="C41" s="98"/>
      <c r="D41" s="45"/>
      <c r="E41" s="45"/>
      <c r="F41" s="45"/>
      <c r="G41" s="45"/>
      <c r="H41" s="45"/>
      <c r="I41" s="45"/>
      <c r="J41" s="45"/>
      <c r="K41" s="45"/>
    </row>
    <row r="42" spans="2:11" ht="15.75" thickBot="1" x14ac:dyDescent="0.3">
      <c r="C42" s="45"/>
      <c r="D42" s="123"/>
      <c r="E42" s="45"/>
      <c r="F42" s="45"/>
      <c r="G42" s="45"/>
      <c r="H42" s="45"/>
      <c r="I42" s="45"/>
      <c r="J42" s="45"/>
      <c r="K42" s="45"/>
    </row>
    <row r="43" spans="2:11" x14ac:dyDescent="0.25">
      <c r="C43" s="342" t="s">
        <v>70</v>
      </c>
      <c r="D43" s="353"/>
      <c r="E43" s="354"/>
      <c r="F43" s="342" t="s">
        <v>71</v>
      </c>
      <c r="G43" s="353"/>
      <c r="H43" s="354"/>
      <c r="I43" s="342" t="s">
        <v>72</v>
      </c>
      <c r="J43" s="353"/>
      <c r="K43" s="354"/>
    </row>
    <row r="44" spans="2:11" ht="15.75" thickBot="1" x14ac:dyDescent="0.3">
      <c r="C44" s="355"/>
      <c r="D44" s="356"/>
      <c r="E44" s="357"/>
      <c r="F44" s="355"/>
      <c r="G44" s="356"/>
      <c r="H44" s="357"/>
      <c r="I44" s="355"/>
      <c r="J44" s="356"/>
      <c r="K44" s="357"/>
    </row>
    <row r="45" spans="2:11" ht="15.75" thickBot="1" x14ac:dyDescent="0.3">
      <c r="C45" s="120" t="s">
        <v>68</v>
      </c>
      <c r="D45" s="121" t="s">
        <v>92</v>
      </c>
      <c r="E45" s="122" t="s">
        <v>98</v>
      </c>
      <c r="F45" s="120" t="s">
        <v>68</v>
      </c>
      <c r="G45" s="121" t="s">
        <v>92</v>
      </c>
      <c r="H45" s="122" t="s">
        <v>98</v>
      </c>
      <c r="I45" s="120" t="s">
        <v>68</v>
      </c>
      <c r="J45" s="121" t="s">
        <v>92</v>
      </c>
      <c r="K45" s="122" t="s">
        <v>98</v>
      </c>
    </row>
    <row r="46" spans="2:11" x14ac:dyDescent="0.25">
      <c r="B46" s="132" t="str">
        <f>B32</f>
        <v>Yeadon Health Centre (AKA Guiseley &amp; Yeadon Medical Practice)</v>
      </c>
      <c r="C46" s="93">
        <f t="shared" ref="C46:C53" si="4">$I$12*$C32/$C$40</f>
        <v>16896.137907311997</v>
      </c>
      <c r="D46" s="92">
        <f>$J$12*'Social Prescribing "100%"'!$H$26/$C$40*$C46</f>
        <v>0</v>
      </c>
      <c r="E46" s="93">
        <f t="shared" ref="E46:E53" si="5">$D32-C46-D46</f>
        <v>2748.982092688002</v>
      </c>
      <c r="F46" s="91">
        <f t="shared" ref="F46:F53" si="6">$I$13*$C32/$C$40</f>
        <v>27017.39027098213</v>
      </c>
      <c r="G46" s="92">
        <f>$J$13*'Social Prescribing "100%"'!$H$27/$C$40*$C46</f>
        <v>962.63171786585451</v>
      </c>
      <c r="H46" s="93">
        <f t="shared" ref="H46:H53" si="7">$D32-F46-G46</f>
        <v>-8334.9019888479852</v>
      </c>
      <c r="I46" s="91">
        <f t="shared" ref="I46:I53" si="8">$I$14*$C32/$C$40</f>
        <v>38104.983203662217</v>
      </c>
      <c r="J46" s="92">
        <f>$J$14*'Social Prescribing "100%"'!$H$28/$C$40*$C46</f>
        <v>2943.0040976371906</v>
      </c>
      <c r="K46" s="92">
        <f t="shared" ref="K46:K53" si="9">$D32-I46-J46</f>
        <v>-21402.867301299408</v>
      </c>
    </row>
    <row r="47" spans="2:11" x14ac:dyDescent="0.25">
      <c r="B47" s="18" t="str">
        <f t="shared" ref="B47:B53" si="10">B33</f>
        <v>Menston Medical Centre (Branch of Park Road Medical Centre)</v>
      </c>
      <c r="C47" s="93">
        <f t="shared" si="4"/>
        <v>16278.540320303999</v>
      </c>
      <c r="D47" s="92">
        <f>$J$12*'Social Prescribing "100%"'!$H$26/$C$40*$C47</f>
        <v>0</v>
      </c>
      <c r="E47" s="93">
        <f t="shared" si="5"/>
        <v>2648.4996796960022</v>
      </c>
      <c r="F47" s="91">
        <f t="shared" si="6"/>
        <v>26029.834704725126</v>
      </c>
      <c r="G47" s="92">
        <f>$J$13*'Social Prescribing "100%"'!$H$27/$C$40*$C47</f>
        <v>927.44503618790543</v>
      </c>
      <c r="H47" s="93">
        <f t="shared" si="7"/>
        <v>-8030.2397409130308</v>
      </c>
      <c r="I47" s="91">
        <f t="shared" si="8"/>
        <v>36712.147408366196</v>
      </c>
      <c r="J47" s="92">
        <f>$J$14*'Social Prescribing "100%"'!$H$28/$C$40*$C47</f>
        <v>2835.4296780138284</v>
      </c>
      <c r="K47" s="92">
        <f t="shared" si="9"/>
        <v>-20620.537086380024</v>
      </c>
    </row>
    <row r="48" spans="2:11" x14ac:dyDescent="0.25">
      <c r="B48" s="18" t="str">
        <f t="shared" si="10"/>
        <v>Aire Valley Surgery (pka Yeadon Tarn.  Merged with Rawdon Surgery Apr 19)</v>
      </c>
      <c r="C48" s="93">
        <f t="shared" si="4"/>
        <v>20283.842318399995</v>
      </c>
      <c r="D48" s="92">
        <f>$J$12*'Social Prescribing "100%"'!$H$26/$C$40*$C48</f>
        <v>0</v>
      </c>
      <c r="E48" s="93">
        <f t="shared" si="5"/>
        <v>3300.1576816000052</v>
      </c>
      <c r="F48" s="91">
        <f t="shared" si="6"/>
        <v>32434.423009421302</v>
      </c>
      <c r="G48" s="92">
        <f>$J$13*'Social Prescribing "100%"'!$H$27/$C$40*$C48</f>
        <v>1155.6410158934284</v>
      </c>
      <c r="H48" s="93">
        <f t="shared" si="7"/>
        <v>-10006.06402531473</v>
      </c>
      <c r="I48" s="91">
        <f t="shared" si="8"/>
        <v>45745.097198447744</v>
      </c>
      <c r="J48" s="92">
        <f>$J$14*'Social Prescribing "100%"'!$H$28/$C$40*$C48</f>
        <v>3533.081428806518</v>
      </c>
      <c r="K48" s="92">
        <f t="shared" si="9"/>
        <v>-25694.178627254263</v>
      </c>
    </row>
    <row r="49" spans="2:13" x14ac:dyDescent="0.25">
      <c r="B49" s="18" t="str">
        <f t="shared" si="10"/>
        <v>Practice #4</v>
      </c>
      <c r="C49" s="93">
        <f t="shared" si="4"/>
        <v>0</v>
      </c>
      <c r="D49" s="92">
        <f>$J$12*'Social Prescribing "100%"'!$H$26/$C$40*$C49</f>
        <v>0</v>
      </c>
      <c r="E49" s="93">
        <f t="shared" si="5"/>
        <v>0</v>
      </c>
      <c r="F49" s="91">
        <f t="shared" si="6"/>
        <v>0</v>
      </c>
      <c r="G49" s="92">
        <f>$J$13*'Social Prescribing "100%"'!$H$27/$C$40*$C49</f>
        <v>0</v>
      </c>
      <c r="H49" s="93">
        <f t="shared" si="7"/>
        <v>0</v>
      </c>
      <c r="I49" s="91">
        <f t="shared" si="8"/>
        <v>0</v>
      </c>
      <c r="J49" s="92">
        <f>$J$14*'Social Prescribing "100%"'!$H$28/$C$40*$C49</f>
        <v>0</v>
      </c>
      <c r="K49" s="92">
        <f t="shared" si="9"/>
        <v>0</v>
      </c>
    </row>
    <row r="50" spans="2:13" x14ac:dyDescent="0.25">
      <c r="B50" s="18" t="str">
        <f t="shared" si="10"/>
        <v>Practice #5</v>
      </c>
      <c r="C50" s="93">
        <f t="shared" si="4"/>
        <v>0</v>
      </c>
      <c r="D50" s="92">
        <f>$J$12*'Social Prescribing "100%"'!$H$26/$C$40*$C50</f>
        <v>0</v>
      </c>
      <c r="E50" s="93">
        <f t="shared" si="5"/>
        <v>0</v>
      </c>
      <c r="F50" s="91">
        <f t="shared" si="6"/>
        <v>0</v>
      </c>
      <c r="G50" s="92">
        <f>$J$13*'Social Prescribing "100%"'!$H$27/$C$40*$C50</f>
        <v>0</v>
      </c>
      <c r="H50" s="93">
        <f t="shared" si="7"/>
        <v>0</v>
      </c>
      <c r="I50" s="91">
        <f t="shared" si="8"/>
        <v>0</v>
      </c>
      <c r="J50" s="92">
        <f>$J$14*'Social Prescribing "100%"'!$H$28/$C$40*$C50</f>
        <v>0</v>
      </c>
      <c r="K50" s="92">
        <f t="shared" si="9"/>
        <v>0</v>
      </c>
    </row>
    <row r="51" spans="2:13" x14ac:dyDescent="0.25">
      <c r="B51" s="18" t="str">
        <f t="shared" si="10"/>
        <v>Practice #6</v>
      </c>
      <c r="C51" s="93">
        <f t="shared" si="4"/>
        <v>0</v>
      </c>
      <c r="D51" s="92">
        <f>$J$12*'Social Prescribing "100%"'!$H$26/$C$40*$C51</f>
        <v>0</v>
      </c>
      <c r="E51" s="93">
        <f t="shared" si="5"/>
        <v>0</v>
      </c>
      <c r="F51" s="91">
        <f t="shared" si="6"/>
        <v>0</v>
      </c>
      <c r="G51" s="92">
        <f>$J$13*'Social Prescribing "100%"'!$H$27/$C$40*$C51</f>
        <v>0</v>
      </c>
      <c r="H51" s="93">
        <f t="shared" si="7"/>
        <v>0</v>
      </c>
      <c r="I51" s="91">
        <f t="shared" si="8"/>
        <v>0</v>
      </c>
      <c r="J51" s="92">
        <f>$J$14*'Social Prescribing "100%"'!$H$28/$C$40*$C51</f>
        <v>0</v>
      </c>
      <c r="K51" s="92">
        <f t="shared" si="9"/>
        <v>0</v>
      </c>
    </row>
    <row r="52" spans="2:13" x14ac:dyDescent="0.25">
      <c r="B52" s="18" t="str">
        <f t="shared" si="10"/>
        <v>Practice #7</v>
      </c>
      <c r="C52" s="93">
        <f t="shared" si="4"/>
        <v>0</v>
      </c>
      <c r="D52" s="92">
        <f>$J$12*'Social Prescribing "100%"'!$H$26/$C$40*$C52</f>
        <v>0</v>
      </c>
      <c r="E52" s="93">
        <f t="shared" si="5"/>
        <v>0</v>
      </c>
      <c r="F52" s="91">
        <f t="shared" si="6"/>
        <v>0</v>
      </c>
      <c r="G52" s="92">
        <f>$J$13*'Social Prescribing "100%"'!$H$27/$C$40*$C52</f>
        <v>0</v>
      </c>
      <c r="H52" s="93">
        <f t="shared" si="7"/>
        <v>0</v>
      </c>
      <c r="I52" s="91">
        <f t="shared" si="8"/>
        <v>0</v>
      </c>
      <c r="J52" s="92">
        <f>$J$14*'Social Prescribing "100%"'!$H$28/$C$40*$C52</f>
        <v>0</v>
      </c>
      <c r="K52" s="92">
        <f t="shared" si="9"/>
        <v>0</v>
      </c>
    </row>
    <row r="53" spans="2:13" ht="15.75" thickBot="1" x14ac:dyDescent="0.3">
      <c r="B53" s="133" t="str">
        <f t="shared" si="10"/>
        <v>Practice #8</v>
      </c>
      <c r="C53" s="89">
        <f t="shared" si="4"/>
        <v>0</v>
      </c>
      <c r="D53" s="88">
        <f>$J$12*'Social Prescribing "100%"'!$H$26/$C$40*$C53</f>
        <v>0</v>
      </c>
      <c r="E53" s="89">
        <f t="shared" si="5"/>
        <v>0</v>
      </c>
      <c r="F53" s="87">
        <f t="shared" si="6"/>
        <v>0</v>
      </c>
      <c r="G53" s="88">
        <f>$J$13*'Social Prescribing "100%"'!$H$27/$C$40*$C53</f>
        <v>0</v>
      </c>
      <c r="H53" s="89">
        <f t="shared" si="7"/>
        <v>0</v>
      </c>
      <c r="I53" s="87">
        <f t="shared" si="8"/>
        <v>0</v>
      </c>
      <c r="J53" s="88">
        <f>$J$14*'Social Prescribing "100%"'!$H$28/$C$40*$C53</f>
        <v>0</v>
      </c>
      <c r="K53" s="88">
        <f t="shared" si="9"/>
        <v>0</v>
      </c>
    </row>
    <row r="54" spans="2:13" x14ac:dyDescent="0.25">
      <c r="C54" s="45"/>
      <c r="D54" s="45"/>
      <c r="E54" s="45"/>
      <c r="F54" s="45"/>
      <c r="G54" s="45"/>
      <c r="H54" s="45"/>
      <c r="I54" s="45"/>
      <c r="J54" s="45"/>
      <c r="K54" s="45"/>
      <c r="L54" s="19"/>
      <c r="M54" s="19"/>
    </row>
    <row r="55" spans="2:13" x14ac:dyDescent="0.25">
      <c r="B55" s="127"/>
      <c r="C55" s="125"/>
      <c r="D55" s="125"/>
      <c r="E55" s="125"/>
      <c r="F55" s="125"/>
      <c r="G55" s="125"/>
      <c r="H55" s="125"/>
      <c r="I55" s="125"/>
      <c r="J55" s="125"/>
      <c r="K55" s="125"/>
      <c r="L55" s="19"/>
      <c r="M55" s="19"/>
    </row>
    <row r="57" spans="2:13" ht="28.5" x14ac:dyDescent="0.45">
      <c r="B57" s="128" t="s">
        <v>101</v>
      </c>
    </row>
    <row r="58" spans="2:13" ht="21.75" thickBot="1" x14ac:dyDescent="0.4">
      <c r="B58" s="49" t="s">
        <v>109</v>
      </c>
      <c r="C58" s="95"/>
      <c r="D58" s="45"/>
      <c r="E58" s="45"/>
      <c r="F58" s="45"/>
      <c r="G58" s="45"/>
      <c r="H58" s="45"/>
      <c r="I58" s="45"/>
      <c r="J58" s="45"/>
      <c r="K58" s="45"/>
    </row>
    <row r="59" spans="2:13" ht="15.75" thickBot="1" x14ac:dyDescent="0.3">
      <c r="B59" s="16" t="s">
        <v>108</v>
      </c>
      <c r="C59" s="96"/>
      <c r="D59" s="119"/>
      <c r="E59" s="342" t="s">
        <v>47</v>
      </c>
      <c r="F59" s="343"/>
      <c r="G59" s="344"/>
      <c r="H59" s="342" t="s">
        <v>69</v>
      </c>
      <c r="I59" s="343"/>
      <c r="J59" s="344"/>
    </row>
    <row r="60" spans="2:13" ht="15.75" thickBot="1" x14ac:dyDescent="0.3">
      <c r="B60" s="16"/>
      <c r="C60" s="97"/>
      <c r="D60" s="362" t="s">
        <v>91</v>
      </c>
      <c r="E60" s="345"/>
      <c r="F60" s="346"/>
      <c r="G60" s="347"/>
      <c r="H60" s="345"/>
      <c r="I60" s="346"/>
      <c r="J60" s="347"/>
    </row>
    <row r="61" spans="2:13" ht="16.5" thickBot="1" x14ac:dyDescent="0.3">
      <c r="B61" s="17"/>
      <c r="C61" s="117" t="s">
        <v>30</v>
      </c>
      <c r="D61" s="363"/>
      <c r="E61" s="120" t="s">
        <v>68</v>
      </c>
      <c r="F61" s="121" t="s">
        <v>92</v>
      </c>
      <c r="G61" s="122" t="s">
        <v>98</v>
      </c>
      <c r="H61" s="120" t="s">
        <v>68</v>
      </c>
      <c r="I61" s="121" t="s">
        <v>92</v>
      </c>
      <c r="J61" s="121" t="s">
        <v>97</v>
      </c>
    </row>
    <row r="62" spans="2:13" x14ac:dyDescent="0.25">
      <c r="B62" s="12" t="s">
        <v>83</v>
      </c>
      <c r="C62" s="118">
        <f>C32</f>
        <v>11162</v>
      </c>
      <c r="D62" s="90">
        <f>'PCN Funding streams'!$D$9*C62</f>
        <v>19645.12</v>
      </c>
      <c r="E62" s="91">
        <f t="shared" ref="E62:E69" si="11">$I$10*$C62/$C$40</f>
        <v>2436.006042</v>
      </c>
      <c r="F62" s="92">
        <f>$J$10*'Social Prescribing "100%"'!$H$24/$C$40*$C62</f>
        <v>0</v>
      </c>
      <c r="G62" s="93">
        <f t="shared" ref="G62:G69" si="12">D62-F62-E62</f>
        <v>17209.113957999998</v>
      </c>
      <c r="H62" s="91">
        <f t="shared" ref="H62:H69" si="13">$I$11*$C62/$C$40</f>
        <v>6625.9364342400004</v>
      </c>
      <c r="I62" s="92">
        <f>$J$11*'Social Prescribing "100%"'!$H$25/$C$40*$C62</f>
        <v>0</v>
      </c>
      <c r="J62" s="92">
        <f>D62-H62-I62+IF(G62&gt;0,G62,0)</f>
        <v>30228.297523759997</v>
      </c>
    </row>
    <row r="63" spans="2:13" x14ac:dyDescent="0.25">
      <c r="B63" s="12" t="s">
        <v>18</v>
      </c>
      <c r="C63" s="118">
        <f t="shared" ref="C63:C70" si="14">C33</f>
        <v>10754</v>
      </c>
      <c r="D63" s="90">
        <f>'PCN Funding streams'!$D$9*C63</f>
        <v>18927.04</v>
      </c>
      <c r="E63" s="91">
        <f t="shared" si="11"/>
        <v>2346.963714</v>
      </c>
      <c r="F63" s="92">
        <f>$J$10*'Social Prescribing "100%"'!$H$24/$C$40*$C63</f>
        <v>0</v>
      </c>
      <c r="G63" s="93">
        <f t="shared" si="12"/>
        <v>16580.076286</v>
      </c>
      <c r="H63" s="91">
        <f t="shared" si="13"/>
        <v>6383.7413020800013</v>
      </c>
      <c r="I63" s="92">
        <f>$J$11*'Social Prescribing "100%"'!$H$25/$C$40*$C63</f>
        <v>0</v>
      </c>
      <c r="J63" s="92">
        <f t="shared" ref="J63:J69" si="15">D63-H63-I63</f>
        <v>12543.29869792</v>
      </c>
    </row>
    <row r="64" spans="2:13" x14ac:dyDescent="0.25">
      <c r="B64" s="12" t="s">
        <v>19</v>
      </c>
      <c r="C64" s="118">
        <f t="shared" si="14"/>
        <v>13400</v>
      </c>
      <c r="D64" s="90">
        <f>'PCN Funding streams'!$D$9*C64</f>
        <v>23584</v>
      </c>
      <c r="E64" s="91">
        <f t="shared" si="11"/>
        <v>2924.4294</v>
      </c>
      <c r="F64" s="92">
        <f>$J$10*'Social Prescribing "100%"'!$H$24/$C$40*$C64</f>
        <v>0</v>
      </c>
      <c r="G64" s="93">
        <f t="shared" si="12"/>
        <v>20659.570599999999</v>
      </c>
      <c r="H64" s="91">
        <f t="shared" si="13"/>
        <v>7954.4479680000004</v>
      </c>
      <c r="I64" s="92">
        <f>$J$11*'Social Prescribing "100%"'!$H$25/$C$40*$C64</f>
        <v>0</v>
      </c>
      <c r="J64" s="92">
        <f t="shared" si="15"/>
        <v>15629.552032</v>
      </c>
    </row>
    <row r="65" spans="2:11" x14ac:dyDescent="0.25">
      <c r="B65" s="12" t="s">
        <v>25</v>
      </c>
      <c r="C65" s="118">
        <f t="shared" si="14"/>
        <v>0</v>
      </c>
      <c r="D65" s="90">
        <f>'PCN Funding streams'!$D$9*C65</f>
        <v>0</v>
      </c>
      <c r="E65" s="91">
        <f t="shared" si="11"/>
        <v>0</v>
      </c>
      <c r="F65" s="92">
        <f>$J$10*'Social Prescribing "100%"'!$H$24/$C$40*$C65</f>
        <v>0</v>
      </c>
      <c r="G65" s="93">
        <f t="shared" si="12"/>
        <v>0</v>
      </c>
      <c r="H65" s="91">
        <f t="shared" si="13"/>
        <v>0</v>
      </c>
      <c r="I65" s="92">
        <f>$J$11*'Social Prescribing "100%"'!$H$25/$C$40*$C65</f>
        <v>0</v>
      </c>
      <c r="J65" s="92">
        <f t="shared" si="15"/>
        <v>0</v>
      </c>
    </row>
    <row r="66" spans="2:11" x14ac:dyDescent="0.25">
      <c r="B66" s="12" t="s">
        <v>26</v>
      </c>
      <c r="C66" s="118">
        <f t="shared" si="14"/>
        <v>0</v>
      </c>
      <c r="D66" s="90">
        <f>'PCN Funding streams'!$D$9*C66</f>
        <v>0</v>
      </c>
      <c r="E66" s="91">
        <f t="shared" si="11"/>
        <v>0</v>
      </c>
      <c r="F66" s="92">
        <f>$J$10*'Social Prescribing "100%"'!$H$24/$C$40*$C66</f>
        <v>0</v>
      </c>
      <c r="G66" s="93">
        <f t="shared" si="12"/>
        <v>0</v>
      </c>
      <c r="H66" s="91">
        <f t="shared" si="13"/>
        <v>0</v>
      </c>
      <c r="I66" s="92">
        <f>$J$11*'Social Prescribing "100%"'!$H$25/$C$40*$C66</f>
        <v>0</v>
      </c>
      <c r="J66" s="92">
        <f t="shared" si="15"/>
        <v>0</v>
      </c>
    </row>
    <row r="67" spans="2:11" x14ac:dyDescent="0.25">
      <c r="B67" s="12" t="s">
        <v>27</v>
      </c>
      <c r="C67" s="118">
        <f t="shared" si="14"/>
        <v>0</v>
      </c>
      <c r="D67" s="90">
        <f>'PCN Funding streams'!$D$9*C67</f>
        <v>0</v>
      </c>
      <c r="E67" s="91">
        <f t="shared" si="11"/>
        <v>0</v>
      </c>
      <c r="F67" s="92">
        <f>$J$10*'Social Prescribing "100%"'!$H$24/$C$40*$C67</f>
        <v>0</v>
      </c>
      <c r="G67" s="93">
        <f t="shared" si="12"/>
        <v>0</v>
      </c>
      <c r="H67" s="91">
        <f t="shared" si="13"/>
        <v>0</v>
      </c>
      <c r="I67" s="92">
        <f>$J$11*'Social Prescribing "100%"'!$H$25/$C$40*$C67</f>
        <v>0</v>
      </c>
      <c r="J67" s="92">
        <f t="shared" si="15"/>
        <v>0</v>
      </c>
    </row>
    <row r="68" spans="2:11" x14ac:dyDescent="0.25">
      <c r="B68" s="12" t="s">
        <v>28</v>
      </c>
      <c r="C68" s="118">
        <f t="shared" si="14"/>
        <v>0</v>
      </c>
      <c r="D68" s="90">
        <f>'PCN Funding streams'!$D$9*C68</f>
        <v>0</v>
      </c>
      <c r="E68" s="91">
        <f t="shared" si="11"/>
        <v>0</v>
      </c>
      <c r="F68" s="92">
        <f>$J$10*'Social Prescribing "100%"'!$H$24/$C$40*$C68</f>
        <v>0</v>
      </c>
      <c r="G68" s="93">
        <f t="shared" si="12"/>
        <v>0</v>
      </c>
      <c r="H68" s="91">
        <f t="shared" si="13"/>
        <v>0</v>
      </c>
      <c r="I68" s="92">
        <f>$J$11*'Social Prescribing "100%"'!$H$25/$C$40*$C68</f>
        <v>0</v>
      </c>
      <c r="J68" s="92">
        <f t="shared" si="15"/>
        <v>0</v>
      </c>
    </row>
    <row r="69" spans="2:11" ht="15.75" thickBot="1" x14ac:dyDescent="0.3">
      <c r="B69" s="12" t="s">
        <v>29</v>
      </c>
      <c r="C69" s="118">
        <f t="shared" si="14"/>
        <v>0</v>
      </c>
      <c r="D69" s="94">
        <f>'PCN Funding streams'!$D$9*C69</f>
        <v>0</v>
      </c>
      <c r="E69" s="87">
        <f t="shared" si="11"/>
        <v>0</v>
      </c>
      <c r="F69" s="88">
        <f>$J$10*'Social Prescribing "100%"'!$H$24/$C$40*$C69</f>
        <v>0</v>
      </c>
      <c r="G69" s="89">
        <f t="shared" si="12"/>
        <v>0</v>
      </c>
      <c r="H69" s="87">
        <f t="shared" si="13"/>
        <v>0</v>
      </c>
      <c r="I69" s="88">
        <f>$J$11*'Social Prescribing "100%"'!$H$25/$C$40*$C69</f>
        <v>0</v>
      </c>
      <c r="J69" s="88">
        <f t="shared" si="15"/>
        <v>0</v>
      </c>
    </row>
    <row r="70" spans="2:11" ht="15.75" thickBot="1" x14ac:dyDescent="0.3">
      <c r="B70" s="138" t="s">
        <v>31</v>
      </c>
      <c r="C70" s="139">
        <f t="shared" si="14"/>
        <v>35316</v>
      </c>
      <c r="D70" s="60"/>
      <c r="E70" s="60"/>
      <c r="F70" s="45"/>
      <c r="G70" s="45"/>
      <c r="H70" s="45"/>
      <c r="I70" s="45"/>
      <c r="J70" s="45"/>
      <c r="K70" s="45"/>
    </row>
    <row r="71" spans="2:11" x14ac:dyDescent="0.25">
      <c r="C71" s="98"/>
      <c r="D71" s="45"/>
      <c r="E71" s="45"/>
      <c r="F71" s="45"/>
      <c r="G71" s="45"/>
      <c r="H71" s="45"/>
      <c r="I71" s="45"/>
      <c r="J71" s="45"/>
      <c r="K71" s="45"/>
    </row>
    <row r="72" spans="2:11" ht="15.75" thickBot="1" x14ac:dyDescent="0.3">
      <c r="C72" s="45"/>
      <c r="D72" s="45"/>
      <c r="E72" s="45"/>
      <c r="F72" s="45"/>
      <c r="G72" s="45"/>
      <c r="H72" s="45"/>
      <c r="I72" s="45"/>
      <c r="J72" s="45"/>
      <c r="K72" s="45"/>
    </row>
    <row r="73" spans="2:11" x14ac:dyDescent="0.25">
      <c r="B73" s="10"/>
      <c r="C73" s="342" t="s">
        <v>70</v>
      </c>
      <c r="D73" s="353"/>
      <c r="E73" s="354"/>
      <c r="F73" s="342" t="s">
        <v>71</v>
      </c>
      <c r="G73" s="353"/>
      <c r="H73" s="354"/>
      <c r="I73" s="342" t="s">
        <v>72</v>
      </c>
      <c r="J73" s="353"/>
      <c r="K73" s="354"/>
    </row>
    <row r="74" spans="2:11" ht="15.75" thickBot="1" x14ac:dyDescent="0.3">
      <c r="B74" s="10"/>
      <c r="C74" s="355"/>
      <c r="D74" s="356"/>
      <c r="E74" s="357"/>
      <c r="F74" s="355"/>
      <c r="G74" s="356"/>
      <c r="H74" s="357"/>
      <c r="I74" s="355"/>
      <c r="J74" s="356"/>
      <c r="K74" s="357"/>
    </row>
    <row r="75" spans="2:11" ht="15.75" thickBot="1" x14ac:dyDescent="0.3">
      <c r="B75" s="10"/>
      <c r="C75" s="134" t="s">
        <v>68</v>
      </c>
      <c r="D75" s="135" t="s">
        <v>92</v>
      </c>
      <c r="E75" s="121" t="s">
        <v>97</v>
      </c>
      <c r="F75" s="120" t="s">
        <v>68</v>
      </c>
      <c r="G75" s="121" t="s">
        <v>92</v>
      </c>
      <c r="H75" s="121" t="s">
        <v>97</v>
      </c>
      <c r="I75" s="120" t="s">
        <v>68</v>
      </c>
      <c r="J75" s="121" t="s">
        <v>92</v>
      </c>
      <c r="K75" s="121" t="s">
        <v>97</v>
      </c>
    </row>
    <row r="76" spans="2:11" x14ac:dyDescent="0.25">
      <c r="B76" s="132" t="s">
        <v>83</v>
      </c>
      <c r="C76" s="91">
        <f t="shared" ref="C76:C83" si="16">$I$12*$C62/$C$40</f>
        <v>16896.137907311997</v>
      </c>
      <c r="D76" s="92">
        <f>$J$12*'Social Prescribing "100%"'!$H$26/$C$40*$C76</f>
        <v>0</v>
      </c>
      <c r="E76" s="93">
        <f>$D62-C76-D76+IF(J62&gt;0,J62,0)</f>
        <v>32977.279616447995</v>
      </c>
      <c r="F76" s="91">
        <f t="shared" ref="F76:F83" si="17">$I$13*$C62/$C$40</f>
        <v>27017.39027098213</v>
      </c>
      <c r="G76" s="92">
        <f>$J$13*'Social Prescribing "100%"'!$H$27/$C$40*$C76</f>
        <v>962.63171786585451</v>
      </c>
      <c r="H76" s="93">
        <f>$D62-F76-G76+IF(E76&gt;0,E76,0)</f>
        <v>24642.37762760001</v>
      </c>
      <c r="I76" s="91">
        <f t="shared" ref="I76:I83" si="18">$I$14*$C62/$C$40</f>
        <v>38104.983203662217</v>
      </c>
      <c r="J76" s="92">
        <f>$J$14*'Social Prescribing "100%"'!$H$28/$C$40*$C76</f>
        <v>2943.0040976371906</v>
      </c>
      <c r="K76" s="92">
        <f>$D62-I76-J76+IF(H76&gt;0,H76,0)</f>
        <v>3239.5103263006022</v>
      </c>
    </row>
    <row r="77" spans="2:11" x14ac:dyDescent="0.25">
      <c r="B77" s="18" t="s">
        <v>18</v>
      </c>
      <c r="C77" s="91">
        <f t="shared" si="16"/>
        <v>16278.540320303999</v>
      </c>
      <c r="D77" s="92">
        <f>$J$12*'Social Prescribing "100%"'!$H$26/$C$40*$C77</f>
        <v>0</v>
      </c>
      <c r="E77" s="93">
        <f t="shared" ref="E77:E83" si="19">$D63-C77-D77+IF(J63&gt;0,J63,0)</f>
        <v>15191.798377616002</v>
      </c>
      <c r="F77" s="91">
        <f t="shared" si="17"/>
        <v>26029.834704725126</v>
      </c>
      <c r="G77" s="92">
        <f>$J$13*'Social Prescribing "100%"'!$H$27/$C$40*$C77</f>
        <v>927.44503618790543</v>
      </c>
      <c r="H77" s="93">
        <f t="shared" ref="H77:H83" si="20">$D63-F77-G77+IF(E77&gt;0,E77,0)</f>
        <v>7161.5586367029709</v>
      </c>
      <c r="I77" s="91">
        <f t="shared" si="18"/>
        <v>36712.147408366196</v>
      </c>
      <c r="J77" s="92">
        <f>$J$14*'Social Prescribing "100%"'!$H$28/$C$40*$C77</f>
        <v>2835.4296780138284</v>
      </c>
      <c r="K77" s="92">
        <f t="shared" ref="K77:K83" si="21">$D63-I77-J77+IF(H77&gt;0,H77,0)</f>
        <v>-13458.978449677052</v>
      </c>
    </row>
    <row r="78" spans="2:11" x14ac:dyDescent="0.25">
      <c r="B78" s="18" t="s">
        <v>19</v>
      </c>
      <c r="C78" s="91">
        <f t="shared" si="16"/>
        <v>20283.842318399995</v>
      </c>
      <c r="D78" s="92">
        <f>$J$12*'Social Prescribing "100%"'!$H$26/$C$40*$C78</f>
        <v>0</v>
      </c>
      <c r="E78" s="93">
        <f t="shared" si="19"/>
        <v>18929.709713600005</v>
      </c>
      <c r="F78" s="91">
        <f t="shared" si="17"/>
        <v>32434.423009421302</v>
      </c>
      <c r="G78" s="92">
        <f>$J$13*'Social Prescribing "100%"'!$H$27/$C$40*$C78</f>
        <v>1155.6410158934284</v>
      </c>
      <c r="H78" s="93">
        <f t="shared" si="20"/>
        <v>8923.6456882852744</v>
      </c>
      <c r="I78" s="91">
        <f t="shared" si="18"/>
        <v>45745.097198447744</v>
      </c>
      <c r="J78" s="92">
        <f>$J$14*'Social Prescribing "100%"'!$H$28/$C$40*$C78</f>
        <v>3533.081428806518</v>
      </c>
      <c r="K78" s="92">
        <f t="shared" si="21"/>
        <v>-16770.532938968987</v>
      </c>
    </row>
    <row r="79" spans="2:11" x14ac:dyDescent="0.25">
      <c r="B79" s="18" t="s">
        <v>25</v>
      </c>
      <c r="C79" s="91">
        <f t="shared" si="16"/>
        <v>0</v>
      </c>
      <c r="D79" s="92">
        <f>$J$12*'Social Prescribing "100%"'!$H$26/$C$40*$C79</f>
        <v>0</v>
      </c>
      <c r="E79" s="93">
        <f t="shared" si="19"/>
        <v>0</v>
      </c>
      <c r="F79" s="91">
        <f t="shared" si="17"/>
        <v>0</v>
      </c>
      <c r="G79" s="92">
        <f>$J$13*'Social Prescribing "100%"'!$H$27/$C$40*$C79</f>
        <v>0</v>
      </c>
      <c r="H79" s="93">
        <f t="shared" si="20"/>
        <v>0</v>
      </c>
      <c r="I79" s="91">
        <f t="shared" si="18"/>
        <v>0</v>
      </c>
      <c r="J79" s="92">
        <f>$J$14*'Social Prescribing "100%"'!$H$28/$C$40*$C79</f>
        <v>0</v>
      </c>
      <c r="K79" s="92">
        <f t="shared" si="21"/>
        <v>0</v>
      </c>
    </row>
    <row r="80" spans="2:11" x14ac:dyDescent="0.25">
      <c r="B80" s="18" t="s">
        <v>26</v>
      </c>
      <c r="C80" s="91">
        <f t="shared" si="16"/>
        <v>0</v>
      </c>
      <c r="D80" s="92">
        <f>$J$12*'Social Prescribing "100%"'!$H$26/$C$40*$C80</f>
        <v>0</v>
      </c>
      <c r="E80" s="93">
        <f t="shared" si="19"/>
        <v>0</v>
      </c>
      <c r="F80" s="91">
        <f t="shared" si="17"/>
        <v>0</v>
      </c>
      <c r="G80" s="92">
        <f>$J$13*'Social Prescribing "100%"'!$H$27/$C$40*$C80</f>
        <v>0</v>
      </c>
      <c r="H80" s="93">
        <f t="shared" si="20"/>
        <v>0</v>
      </c>
      <c r="I80" s="91">
        <f t="shared" si="18"/>
        <v>0</v>
      </c>
      <c r="J80" s="92">
        <f>$J$14*'Social Prescribing "100%"'!$H$28/$C$40*$C80</f>
        <v>0</v>
      </c>
      <c r="K80" s="92">
        <f t="shared" si="21"/>
        <v>0</v>
      </c>
    </row>
    <row r="81" spans="2:11" x14ac:dyDescent="0.25">
      <c r="B81" s="18" t="s">
        <v>27</v>
      </c>
      <c r="C81" s="91">
        <f t="shared" si="16"/>
        <v>0</v>
      </c>
      <c r="D81" s="92">
        <f>$J$12*'Social Prescribing "100%"'!$H$26/$C$40*$C81</f>
        <v>0</v>
      </c>
      <c r="E81" s="93">
        <f t="shared" si="19"/>
        <v>0</v>
      </c>
      <c r="F81" s="91">
        <f t="shared" si="17"/>
        <v>0</v>
      </c>
      <c r="G81" s="92">
        <f>$J$13*'Social Prescribing "100%"'!$H$27/$C$40*$C81</f>
        <v>0</v>
      </c>
      <c r="H81" s="93">
        <f t="shared" si="20"/>
        <v>0</v>
      </c>
      <c r="I81" s="91">
        <f t="shared" si="18"/>
        <v>0</v>
      </c>
      <c r="J81" s="92">
        <f>$J$14*'Social Prescribing "100%"'!$H$28/$C$40*$C81</f>
        <v>0</v>
      </c>
      <c r="K81" s="92">
        <f t="shared" si="21"/>
        <v>0</v>
      </c>
    </row>
    <row r="82" spans="2:11" x14ac:dyDescent="0.25">
      <c r="B82" s="18" t="s">
        <v>28</v>
      </c>
      <c r="C82" s="91">
        <f t="shared" si="16"/>
        <v>0</v>
      </c>
      <c r="D82" s="92">
        <f>$J$12*'Social Prescribing "100%"'!$H$26/$C$40*$C82</f>
        <v>0</v>
      </c>
      <c r="E82" s="93">
        <f t="shared" si="19"/>
        <v>0</v>
      </c>
      <c r="F82" s="91">
        <f t="shared" si="17"/>
        <v>0</v>
      </c>
      <c r="G82" s="92">
        <f>$J$13*'Social Prescribing "100%"'!$H$27/$C$40*$C82</f>
        <v>0</v>
      </c>
      <c r="H82" s="93">
        <f t="shared" si="20"/>
        <v>0</v>
      </c>
      <c r="I82" s="91">
        <f t="shared" si="18"/>
        <v>0</v>
      </c>
      <c r="J82" s="92">
        <f>$J$14*'Social Prescribing "100%"'!$H$28/$C$40*$C82</f>
        <v>0</v>
      </c>
      <c r="K82" s="92">
        <f t="shared" si="21"/>
        <v>0</v>
      </c>
    </row>
    <row r="83" spans="2:11" ht="15.75" thickBot="1" x14ac:dyDescent="0.3">
      <c r="B83" s="133" t="s">
        <v>29</v>
      </c>
      <c r="C83" s="87">
        <f t="shared" si="16"/>
        <v>0</v>
      </c>
      <c r="D83" s="88">
        <f>$J$12*'Social Prescribing "100%"'!$H$26/$C$40*$C83</f>
        <v>0</v>
      </c>
      <c r="E83" s="89">
        <f t="shared" si="19"/>
        <v>0</v>
      </c>
      <c r="F83" s="87">
        <f t="shared" si="17"/>
        <v>0</v>
      </c>
      <c r="G83" s="88">
        <f>$J$13*'Social Prescribing "100%"'!$H$27/$C$40*$C83</f>
        <v>0</v>
      </c>
      <c r="H83" s="89">
        <f t="shared" si="20"/>
        <v>0</v>
      </c>
      <c r="I83" s="87">
        <f t="shared" si="18"/>
        <v>0</v>
      </c>
      <c r="J83" s="88">
        <f>$J$14*'Social Prescribing "100%"'!$H$28/$C$40*$C83</f>
        <v>0</v>
      </c>
      <c r="K83" s="88">
        <f t="shared" si="21"/>
        <v>0</v>
      </c>
    </row>
    <row r="85" spans="2:11" x14ac:dyDescent="0.25">
      <c r="B85" t="s">
        <v>99</v>
      </c>
    </row>
    <row r="88" spans="2:11" x14ac:dyDescent="0.25">
      <c r="B88" t="s">
        <v>113</v>
      </c>
    </row>
    <row r="90" spans="2:11" x14ac:dyDescent="0.25">
      <c r="B90" t="s">
        <v>118</v>
      </c>
    </row>
    <row r="91" spans="2:11" x14ac:dyDescent="0.25">
      <c r="B91" t="s">
        <v>114</v>
      </c>
    </row>
    <row r="92" spans="2:11" x14ac:dyDescent="0.25">
      <c r="B92" t="s">
        <v>116</v>
      </c>
    </row>
    <row r="93" spans="2:11" x14ac:dyDescent="0.25">
      <c r="B93" t="s">
        <v>115</v>
      </c>
    </row>
    <row r="94" spans="2:11" x14ac:dyDescent="0.25">
      <c r="B94" t="s">
        <v>117</v>
      </c>
    </row>
    <row r="95" spans="2:11" x14ac:dyDescent="0.25">
      <c r="B95" t="s">
        <v>119</v>
      </c>
    </row>
    <row r="96" spans="2:11" x14ac:dyDescent="0.25">
      <c r="B96" t="s">
        <v>120</v>
      </c>
    </row>
  </sheetData>
  <customSheetViews>
    <customSheetView guid="{3A3D6D3D-C242-4ACD-A854-603FFD99C5F9}" state="hidden">
      <selection activeCell="G34" sqref="G34"/>
      <pageMargins left="0.7" right="0.7" top="0.75" bottom="0.75" header="0.3" footer="0.3"/>
      <pageSetup paperSize="9" orientation="portrait" r:id="rId1"/>
    </customSheetView>
  </customSheetViews>
  <mergeCells count="16">
    <mergeCell ref="E59:G60"/>
    <mergeCell ref="H59:J60"/>
    <mergeCell ref="D60:D61"/>
    <mergeCell ref="C73:E74"/>
    <mergeCell ref="F73:H74"/>
    <mergeCell ref="I73:K74"/>
    <mergeCell ref="E29:G30"/>
    <mergeCell ref="H29:J30"/>
    <mergeCell ref="D7:G7"/>
    <mergeCell ref="F16:H19"/>
    <mergeCell ref="I43:K44"/>
    <mergeCell ref="H7:H8"/>
    <mergeCell ref="I7:I8"/>
    <mergeCell ref="C43:E44"/>
    <mergeCell ref="F43:H44"/>
    <mergeCell ref="D30:D31"/>
  </mergeCells>
  <conditionalFormatting sqref="G32:G39">
    <cfRule type="cellIs" dxfId="389" priority="322" operator="lessThan">
      <formula>0</formula>
    </cfRule>
    <cfRule type="cellIs" dxfId="388" priority="323" operator="lessThan">
      <formula>0</formula>
    </cfRule>
    <cfRule type="cellIs" dxfId="387" priority="324" operator="greaterThan">
      <formula>0</formula>
    </cfRule>
    <cfRule type="cellIs" dxfId="386" priority="461" operator="greaterThan">
      <formula>$D$32</formula>
    </cfRule>
  </conditionalFormatting>
  <conditionalFormatting sqref="G33">
    <cfRule type="cellIs" dxfId="385" priority="447" operator="greaterThan">
      <formula>$D$33</formula>
    </cfRule>
    <cfRule type="cellIs" dxfId="384" priority="460" operator="greaterThan">
      <formula>$D$33</formula>
    </cfRule>
  </conditionalFormatting>
  <conditionalFormatting sqref="G34">
    <cfRule type="cellIs" dxfId="383" priority="446" operator="greaterThan">
      <formula>$D$34</formula>
    </cfRule>
    <cfRule type="cellIs" dxfId="382" priority="459" operator="greaterThan">
      <formula>$D$34</formula>
    </cfRule>
  </conditionalFormatting>
  <conditionalFormatting sqref="G35">
    <cfRule type="cellIs" dxfId="381" priority="445" operator="greaterThan">
      <formula>$D$35</formula>
    </cfRule>
    <cfRule type="cellIs" dxfId="380" priority="458" operator="greaterThan">
      <formula>$D$35</formula>
    </cfRule>
  </conditionalFormatting>
  <conditionalFormatting sqref="G36">
    <cfRule type="cellIs" dxfId="379" priority="444" operator="greaterThan">
      <formula>$D$36</formula>
    </cfRule>
    <cfRule type="cellIs" dxfId="378" priority="457" operator="greaterThan">
      <formula>$D$36</formula>
    </cfRule>
  </conditionalFormatting>
  <conditionalFormatting sqref="G37">
    <cfRule type="cellIs" dxfId="377" priority="443" operator="greaterThan">
      <formula>$D$37</formula>
    </cfRule>
    <cfRule type="cellIs" dxfId="376" priority="456" operator="greaterThan">
      <formula>$D$37</formula>
    </cfRule>
  </conditionalFormatting>
  <conditionalFormatting sqref="G38">
    <cfRule type="cellIs" dxfId="375" priority="442" operator="greaterThan">
      <formula>$D$38</formula>
    </cfRule>
    <cfRule type="cellIs" dxfId="374" priority="455" operator="greaterThan">
      <formula>$D$38</formula>
    </cfRule>
  </conditionalFormatting>
  <conditionalFormatting sqref="G39">
    <cfRule type="cellIs" dxfId="373" priority="441" operator="greaterThan">
      <formula>$D$39</formula>
    </cfRule>
    <cfRule type="cellIs" dxfId="372" priority="454" operator="greaterThan">
      <formula>$D$39</formula>
    </cfRule>
  </conditionalFormatting>
  <conditionalFormatting sqref="J32:J39">
    <cfRule type="cellIs" dxfId="371" priority="304" operator="lessThan">
      <formula>0</formula>
    </cfRule>
    <cfRule type="cellIs" dxfId="370" priority="305" operator="lessThan">
      <formula>0</formula>
    </cfRule>
    <cfRule type="cellIs" dxfId="369" priority="306" operator="greaterThan">
      <formula>0</formula>
    </cfRule>
    <cfRule type="cellIs" dxfId="368" priority="321" operator="greaterThan">
      <formula>$D$32</formula>
    </cfRule>
  </conditionalFormatting>
  <conditionalFormatting sqref="J33">
    <cfRule type="cellIs" dxfId="367" priority="313" operator="greaterThan">
      <formula>$D$33</formula>
    </cfRule>
    <cfRule type="cellIs" dxfId="366" priority="320" operator="greaterThan">
      <formula>$D$33</formula>
    </cfRule>
  </conditionalFormatting>
  <conditionalFormatting sqref="J34">
    <cfRule type="cellIs" dxfId="365" priority="312" operator="greaterThan">
      <formula>$D$34</formula>
    </cfRule>
    <cfRule type="cellIs" dxfId="364" priority="319" operator="greaterThan">
      <formula>$D$34</formula>
    </cfRule>
  </conditionalFormatting>
  <conditionalFormatting sqref="J35">
    <cfRule type="cellIs" dxfId="363" priority="311" operator="greaterThan">
      <formula>$D$35</formula>
    </cfRule>
    <cfRule type="cellIs" dxfId="362" priority="318" operator="greaterThan">
      <formula>$D$35</formula>
    </cfRule>
  </conditionalFormatting>
  <conditionalFormatting sqref="J36">
    <cfRule type="cellIs" dxfId="361" priority="310" operator="greaterThan">
      <formula>$D$36</formula>
    </cfRule>
    <cfRule type="cellIs" dxfId="360" priority="317" operator="greaterThan">
      <formula>$D$36</formula>
    </cfRule>
  </conditionalFormatting>
  <conditionalFormatting sqref="J37">
    <cfRule type="cellIs" dxfId="359" priority="309" operator="greaterThan">
      <formula>$D$37</formula>
    </cfRule>
    <cfRule type="cellIs" dxfId="358" priority="316" operator="greaterThan">
      <formula>$D$37</formula>
    </cfRule>
  </conditionalFormatting>
  <conditionalFormatting sqref="J38">
    <cfRule type="cellIs" dxfId="357" priority="308" operator="greaterThan">
      <formula>$D$38</formula>
    </cfRule>
    <cfRule type="cellIs" dxfId="356" priority="315" operator="greaterThan">
      <formula>$D$38</formula>
    </cfRule>
  </conditionalFormatting>
  <conditionalFormatting sqref="J39">
    <cfRule type="cellIs" dxfId="355" priority="307" operator="greaterThan">
      <formula>$D$39</formula>
    </cfRule>
    <cfRule type="cellIs" dxfId="354" priority="314" operator="greaterThan">
      <formula>$D$39</formula>
    </cfRule>
  </conditionalFormatting>
  <conditionalFormatting sqref="E46:E53">
    <cfRule type="cellIs" dxfId="353" priority="286" operator="lessThan">
      <formula>0</formula>
    </cfRule>
    <cfRule type="cellIs" dxfId="352" priority="287" operator="lessThan">
      <formula>0</formula>
    </cfRule>
    <cfRule type="cellIs" dxfId="351" priority="288" operator="greaterThan">
      <formula>0</formula>
    </cfRule>
    <cfRule type="cellIs" dxfId="350" priority="303" operator="greaterThan">
      <formula>$D$32</formula>
    </cfRule>
  </conditionalFormatting>
  <conditionalFormatting sqref="E47">
    <cfRule type="cellIs" dxfId="349" priority="295" operator="greaterThan">
      <formula>$D$33</formula>
    </cfRule>
    <cfRule type="cellIs" dxfId="348" priority="302" operator="greaterThan">
      <formula>$D$33</formula>
    </cfRule>
  </conditionalFormatting>
  <conditionalFormatting sqref="E48">
    <cfRule type="cellIs" dxfId="347" priority="294" operator="greaterThan">
      <formula>$D$34</formula>
    </cfRule>
    <cfRule type="cellIs" dxfId="346" priority="301" operator="greaterThan">
      <formula>$D$34</formula>
    </cfRule>
  </conditionalFormatting>
  <conditionalFormatting sqref="E49">
    <cfRule type="cellIs" dxfId="345" priority="293" operator="greaterThan">
      <formula>$D$35</formula>
    </cfRule>
    <cfRule type="cellIs" dxfId="344" priority="300" operator="greaterThan">
      <formula>$D$35</formula>
    </cfRule>
  </conditionalFormatting>
  <conditionalFormatting sqref="E50">
    <cfRule type="cellIs" dxfId="343" priority="292" operator="greaterThan">
      <formula>$D$36</formula>
    </cfRule>
    <cfRule type="cellIs" dxfId="342" priority="299" operator="greaterThan">
      <formula>$D$36</formula>
    </cfRule>
  </conditionalFormatting>
  <conditionalFormatting sqref="E51">
    <cfRule type="cellIs" dxfId="341" priority="291" operator="greaterThan">
      <formula>$D$37</formula>
    </cfRule>
    <cfRule type="cellIs" dxfId="340" priority="298" operator="greaterThan">
      <formula>$D$37</formula>
    </cfRule>
  </conditionalFormatting>
  <conditionalFormatting sqref="E52">
    <cfRule type="cellIs" dxfId="339" priority="290" operator="greaterThan">
      <formula>$D$38</formula>
    </cfRule>
    <cfRule type="cellIs" dxfId="338" priority="297" operator="greaterThan">
      <formula>$D$38</formula>
    </cfRule>
  </conditionalFormatting>
  <conditionalFormatting sqref="E53">
    <cfRule type="cellIs" dxfId="337" priority="289" operator="greaterThan">
      <formula>$D$39</formula>
    </cfRule>
    <cfRule type="cellIs" dxfId="336" priority="296" operator="greaterThan">
      <formula>$D$39</formula>
    </cfRule>
  </conditionalFormatting>
  <conditionalFormatting sqref="H46:H53">
    <cfRule type="cellIs" dxfId="335" priority="268" operator="lessThan">
      <formula>0</formula>
    </cfRule>
    <cfRule type="cellIs" dxfId="334" priority="269" operator="lessThan">
      <formula>0</formula>
    </cfRule>
    <cfRule type="cellIs" dxfId="333" priority="270" operator="greaterThan">
      <formula>0</formula>
    </cfRule>
    <cfRule type="cellIs" dxfId="332" priority="285" operator="greaterThan">
      <formula>$D$32</formula>
    </cfRule>
  </conditionalFormatting>
  <conditionalFormatting sqref="H47">
    <cfRule type="cellIs" dxfId="331" priority="277" operator="greaterThan">
      <formula>$D$33</formula>
    </cfRule>
    <cfRule type="cellIs" dxfId="330" priority="284" operator="greaterThan">
      <formula>$D$33</formula>
    </cfRule>
  </conditionalFormatting>
  <conditionalFormatting sqref="H48">
    <cfRule type="cellIs" dxfId="329" priority="276" operator="greaterThan">
      <formula>$D$34</formula>
    </cfRule>
    <cfRule type="cellIs" dxfId="328" priority="283" operator="greaterThan">
      <formula>$D$34</formula>
    </cfRule>
  </conditionalFormatting>
  <conditionalFormatting sqref="H49">
    <cfRule type="cellIs" dxfId="327" priority="275" operator="greaterThan">
      <formula>$D$35</formula>
    </cfRule>
    <cfRule type="cellIs" dxfId="326" priority="282" operator="greaterThan">
      <formula>$D$35</formula>
    </cfRule>
  </conditionalFormatting>
  <conditionalFormatting sqref="H50">
    <cfRule type="cellIs" dxfId="325" priority="274" operator="greaterThan">
      <formula>$D$36</formula>
    </cfRule>
    <cfRule type="cellIs" dxfId="324" priority="281" operator="greaterThan">
      <formula>$D$36</formula>
    </cfRule>
  </conditionalFormatting>
  <conditionalFormatting sqref="H51">
    <cfRule type="cellIs" dxfId="323" priority="273" operator="greaterThan">
      <formula>$D$37</formula>
    </cfRule>
    <cfRule type="cellIs" dxfId="322" priority="280" operator="greaterThan">
      <formula>$D$37</formula>
    </cfRule>
  </conditionalFormatting>
  <conditionalFormatting sqref="H52">
    <cfRule type="cellIs" dxfId="321" priority="272" operator="greaterThan">
      <formula>$D$38</formula>
    </cfRule>
    <cfRule type="cellIs" dxfId="320" priority="279" operator="greaterThan">
      <formula>$D$38</formula>
    </cfRule>
  </conditionalFormatting>
  <conditionalFormatting sqref="H53">
    <cfRule type="cellIs" dxfId="319" priority="271" operator="greaterThan">
      <formula>$D$39</formula>
    </cfRule>
    <cfRule type="cellIs" dxfId="318" priority="278" operator="greaterThan">
      <formula>$D$39</formula>
    </cfRule>
  </conditionalFormatting>
  <conditionalFormatting sqref="K46:K53">
    <cfRule type="cellIs" dxfId="317" priority="250" operator="lessThan">
      <formula>0</formula>
    </cfRule>
    <cfRule type="cellIs" dxfId="316" priority="251" operator="lessThan">
      <formula>0</formula>
    </cfRule>
    <cfRule type="cellIs" dxfId="315" priority="252" operator="greaterThan">
      <formula>0</formula>
    </cfRule>
    <cfRule type="cellIs" dxfId="314" priority="267" operator="greaterThan">
      <formula>$D$32</formula>
    </cfRule>
  </conditionalFormatting>
  <conditionalFormatting sqref="K47">
    <cfRule type="cellIs" dxfId="313" priority="259" operator="greaterThan">
      <formula>$D$33</formula>
    </cfRule>
    <cfRule type="cellIs" dxfId="312" priority="266" operator="greaterThan">
      <formula>$D$33</formula>
    </cfRule>
  </conditionalFormatting>
  <conditionalFormatting sqref="K48">
    <cfRule type="cellIs" dxfId="311" priority="258" operator="greaterThan">
      <formula>$D$34</formula>
    </cfRule>
    <cfRule type="cellIs" dxfId="310" priority="265" operator="greaterThan">
      <formula>$D$34</formula>
    </cfRule>
  </conditionalFormatting>
  <conditionalFormatting sqref="K49">
    <cfRule type="cellIs" dxfId="309" priority="257" operator="greaterThan">
      <formula>$D$35</formula>
    </cfRule>
    <cfRule type="cellIs" dxfId="308" priority="264" operator="greaterThan">
      <formula>$D$35</formula>
    </cfRule>
  </conditionalFormatting>
  <conditionalFormatting sqref="K50">
    <cfRule type="cellIs" dxfId="307" priority="256" operator="greaterThan">
      <formula>$D$36</formula>
    </cfRule>
    <cfRule type="cellIs" dxfId="306" priority="263" operator="greaterThan">
      <formula>$D$36</formula>
    </cfRule>
  </conditionalFormatting>
  <conditionalFormatting sqref="K51">
    <cfRule type="cellIs" dxfId="305" priority="255" operator="greaterThan">
      <formula>$D$37</formula>
    </cfRule>
    <cfRule type="cellIs" dxfId="304" priority="262" operator="greaterThan">
      <formula>$D$37</formula>
    </cfRule>
  </conditionalFormatting>
  <conditionalFormatting sqref="K52">
    <cfRule type="cellIs" dxfId="303" priority="254" operator="greaterThan">
      <formula>$D$38</formula>
    </cfRule>
    <cfRule type="cellIs" dxfId="302" priority="261" operator="greaterThan">
      <formula>$D$38</formula>
    </cfRule>
  </conditionalFormatting>
  <conditionalFormatting sqref="K53">
    <cfRule type="cellIs" dxfId="301" priority="253" operator="greaterThan">
      <formula>$D$39</formula>
    </cfRule>
    <cfRule type="cellIs" dxfId="300" priority="260" operator="greaterThan">
      <formula>$D$39</formula>
    </cfRule>
  </conditionalFormatting>
  <conditionalFormatting sqref="G46">
    <cfRule type="cellIs" dxfId="299" priority="107" operator="greaterThan">
      <formula>0</formula>
    </cfRule>
  </conditionalFormatting>
  <conditionalFormatting sqref="G47:G53">
    <cfRule type="cellIs" dxfId="298" priority="106" operator="greaterThan">
      <formula>0</formula>
    </cfRule>
  </conditionalFormatting>
  <conditionalFormatting sqref="K10:K14">
    <cfRule type="cellIs" dxfId="297" priority="96" operator="greaterThan">
      <formula>0</formula>
    </cfRule>
  </conditionalFormatting>
  <conditionalFormatting sqref="J46:J53">
    <cfRule type="cellIs" dxfId="296" priority="105" operator="greaterThan">
      <formula>0</formula>
    </cfRule>
  </conditionalFormatting>
  <conditionalFormatting sqref="D46:D53">
    <cfRule type="cellIs" dxfId="295" priority="104" operator="greaterThan">
      <formula>0</formula>
    </cfRule>
  </conditionalFormatting>
  <conditionalFormatting sqref="I32:I39">
    <cfRule type="cellIs" dxfId="294" priority="103" operator="greaterThan">
      <formula>0</formula>
    </cfRule>
  </conditionalFormatting>
  <conditionalFormatting sqref="G76">
    <cfRule type="cellIs" dxfId="293" priority="5" operator="greaterThan">
      <formula>0</formula>
    </cfRule>
  </conditionalFormatting>
  <conditionalFormatting sqref="G77:G83">
    <cfRule type="cellIs" dxfId="292" priority="4" operator="greaterThan">
      <formula>0</formula>
    </cfRule>
  </conditionalFormatting>
  <conditionalFormatting sqref="J76:J83">
    <cfRule type="cellIs" dxfId="291" priority="3" operator="greaterThan">
      <formula>0</formula>
    </cfRule>
  </conditionalFormatting>
  <conditionalFormatting sqref="G62:G69">
    <cfRule type="cellIs" dxfId="290" priority="78" operator="lessThan">
      <formula>0</formula>
    </cfRule>
    <cfRule type="cellIs" dxfId="289" priority="79" operator="lessThan">
      <formula>0</formula>
    </cfRule>
    <cfRule type="cellIs" dxfId="288" priority="80" operator="greaterThan">
      <formula>0</formula>
    </cfRule>
    <cfRule type="cellIs" dxfId="287" priority="95" operator="greaterThan">
      <formula>$D$32</formula>
    </cfRule>
  </conditionalFormatting>
  <conditionalFormatting sqref="G63">
    <cfRule type="cellIs" dxfId="286" priority="87" operator="greaterThan">
      <formula>$D$33</formula>
    </cfRule>
    <cfRule type="cellIs" dxfId="285" priority="94" operator="greaterThan">
      <formula>$D$33</formula>
    </cfRule>
  </conditionalFormatting>
  <conditionalFormatting sqref="G64">
    <cfRule type="cellIs" dxfId="284" priority="86" operator="greaterThan">
      <formula>$D$34</formula>
    </cfRule>
    <cfRule type="cellIs" dxfId="283" priority="93" operator="greaterThan">
      <formula>$D$34</formula>
    </cfRule>
  </conditionalFormatting>
  <conditionalFormatting sqref="G65">
    <cfRule type="cellIs" dxfId="282" priority="85" operator="greaterThan">
      <formula>$D$35</formula>
    </cfRule>
    <cfRule type="cellIs" dxfId="281" priority="92" operator="greaterThan">
      <formula>$D$35</formula>
    </cfRule>
  </conditionalFormatting>
  <conditionalFormatting sqref="G66">
    <cfRule type="cellIs" dxfId="280" priority="84" operator="greaterThan">
      <formula>$D$36</formula>
    </cfRule>
    <cfRule type="cellIs" dxfId="279" priority="91" operator="greaterThan">
      <formula>$D$36</formula>
    </cfRule>
  </conditionalFormatting>
  <conditionalFormatting sqref="G67">
    <cfRule type="cellIs" dxfId="278" priority="83" operator="greaterThan">
      <formula>$D$37</formula>
    </cfRule>
    <cfRule type="cellIs" dxfId="277" priority="90" operator="greaterThan">
      <formula>$D$37</formula>
    </cfRule>
  </conditionalFormatting>
  <conditionalFormatting sqref="G68">
    <cfRule type="cellIs" dxfId="276" priority="82" operator="greaterThan">
      <formula>$D$38</formula>
    </cfRule>
    <cfRule type="cellIs" dxfId="275" priority="89" operator="greaterThan">
      <formula>$D$38</formula>
    </cfRule>
  </conditionalFormatting>
  <conditionalFormatting sqref="G69">
    <cfRule type="cellIs" dxfId="274" priority="81" operator="greaterThan">
      <formula>$D$39</formula>
    </cfRule>
    <cfRule type="cellIs" dxfId="273" priority="88" operator="greaterThan">
      <formula>$D$39</formula>
    </cfRule>
  </conditionalFormatting>
  <conditionalFormatting sqref="J62:J69">
    <cfRule type="cellIs" dxfId="272" priority="60" operator="lessThan">
      <formula>0</formula>
    </cfRule>
    <cfRule type="cellIs" dxfId="271" priority="61" operator="lessThan">
      <formula>0</formula>
    </cfRule>
    <cfRule type="cellIs" dxfId="270" priority="62" operator="greaterThan">
      <formula>0</formula>
    </cfRule>
    <cfRule type="cellIs" dxfId="269" priority="77" operator="greaterThan">
      <formula>$D$32</formula>
    </cfRule>
  </conditionalFormatting>
  <conditionalFormatting sqref="J63">
    <cfRule type="cellIs" dxfId="268" priority="69" operator="greaterThan">
      <formula>$D$33</formula>
    </cfRule>
    <cfRule type="cellIs" dxfId="267" priority="76" operator="greaterThan">
      <formula>$D$33</formula>
    </cfRule>
  </conditionalFormatting>
  <conditionalFormatting sqref="J64">
    <cfRule type="cellIs" dxfId="266" priority="68" operator="greaterThan">
      <formula>$D$34</formula>
    </cfRule>
    <cfRule type="cellIs" dxfId="265" priority="75" operator="greaterThan">
      <formula>$D$34</formula>
    </cfRule>
  </conditionalFormatting>
  <conditionalFormatting sqref="J65">
    <cfRule type="cellIs" dxfId="264" priority="67" operator="greaterThan">
      <formula>$D$35</formula>
    </cfRule>
    <cfRule type="cellIs" dxfId="263" priority="74" operator="greaterThan">
      <formula>$D$35</formula>
    </cfRule>
  </conditionalFormatting>
  <conditionalFormatting sqref="J66">
    <cfRule type="cellIs" dxfId="262" priority="66" operator="greaterThan">
      <formula>$D$36</formula>
    </cfRule>
    <cfRule type="cellIs" dxfId="261" priority="73" operator="greaterThan">
      <formula>$D$36</formula>
    </cfRule>
  </conditionalFormatting>
  <conditionalFormatting sqref="J67">
    <cfRule type="cellIs" dxfId="260" priority="65" operator="greaterThan">
      <formula>$D$37</formula>
    </cfRule>
    <cfRule type="cellIs" dxfId="259" priority="72" operator="greaterThan">
      <formula>$D$37</formula>
    </cfRule>
  </conditionalFormatting>
  <conditionalFormatting sqref="J68">
    <cfRule type="cellIs" dxfId="258" priority="64" operator="greaterThan">
      <formula>$D$38</formula>
    </cfRule>
    <cfRule type="cellIs" dxfId="257" priority="71" operator="greaterThan">
      <formula>$D$38</formula>
    </cfRule>
  </conditionalFormatting>
  <conditionalFormatting sqref="J69">
    <cfRule type="cellIs" dxfId="256" priority="63" operator="greaterThan">
      <formula>$D$39</formula>
    </cfRule>
    <cfRule type="cellIs" dxfId="255" priority="70" operator="greaterThan">
      <formula>$D$39</formula>
    </cfRule>
  </conditionalFormatting>
  <conditionalFormatting sqref="E76:E83">
    <cfRule type="cellIs" dxfId="254" priority="42" operator="lessThan">
      <formula>0</formula>
    </cfRule>
    <cfRule type="cellIs" dxfId="253" priority="43" operator="lessThan">
      <formula>0</formula>
    </cfRule>
    <cfRule type="cellIs" dxfId="252" priority="44" operator="greaterThan">
      <formula>0</formula>
    </cfRule>
    <cfRule type="cellIs" dxfId="251" priority="59" operator="greaterThan">
      <formula>$D$32</formula>
    </cfRule>
  </conditionalFormatting>
  <conditionalFormatting sqref="E77">
    <cfRule type="cellIs" dxfId="250" priority="51" operator="greaterThan">
      <formula>$D$33</formula>
    </cfRule>
    <cfRule type="cellIs" dxfId="249" priority="58" operator="greaterThan">
      <formula>$D$33</formula>
    </cfRule>
  </conditionalFormatting>
  <conditionalFormatting sqref="E78">
    <cfRule type="cellIs" dxfId="248" priority="50" operator="greaterThan">
      <formula>$D$34</formula>
    </cfRule>
    <cfRule type="cellIs" dxfId="247" priority="57" operator="greaterThan">
      <formula>$D$34</formula>
    </cfRule>
  </conditionalFormatting>
  <conditionalFormatting sqref="E79">
    <cfRule type="cellIs" dxfId="246" priority="49" operator="greaterThan">
      <formula>$D$35</formula>
    </cfRule>
    <cfRule type="cellIs" dxfId="245" priority="56" operator="greaterThan">
      <formula>$D$35</formula>
    </cfRule>
  </conditionalFormatting>
  <conditionalFormatting sqref="E80">
    <cfRule type="cellIs" dxfId="244" priority="48" operator="greaterThan">
      <formula>$D$36</formula>
    </cfRule>
    <cfRule type="cellIs" dxfId="243" priority="55" operator="greaterThan">
      <formula>$D$36</formula>
    </cfRule>
  </conditionalFormatting>
  <conditionalFormatting sqref="E81">
    <cfRule type="cellIs" dxfId="242" priority="47" operator="greaterThan">
      <formula>$D$37</formula>
    </cfRule>
    <cfRule type="cellIs" dxfId="241" priority="54" operator="greaterThan">
      <formula>$D$37</formula>
    </cfRule>
  </conditionalFormatting>
  <conditionalFormatting sqref="E82">
    <cfRule type="cellIs" dxfId="240" priority="46" operator="greaterThan">
      <formula>$D$38</formula>
    </cfRule>
    <cfRule type="cellIs" dxfId="239" priority="53" operator="greaterThan">
      <formula>$D$38</formula>
    </cfRule>
  </conditionalFormatting>
  <conditionalFormatting sqref="E83">
    <cfRule type="cellIs" dxfId="238" priority="45" operator="greaterThan">
      <formula>$D$39</formula>
    </cfRule>
    <cfRule type="cellIs" dxfId="237" priority="52" operator="greaterThan">
      <formula>$D$39</formula>
    </cfRule>
  </conditionalFormatting>
  <conditionalFormatting sqref="H76:H83">
    <cfRule type="cellIs" dxfId="236" priority="24" operator="lessThan">
      <formula>0</formula>
    </cfRule>
    <cfRule type="cellIs" dxfId="235" priority="25" operator="lessThan">
      <formula>0</formula>
    </cfRule>
    <cfRule type="cellIs" dxfId="234" priority="26" operator="greaterThan">
      <formula>0</formula>
    </cfRule>
    <cfRule type="cellIs" dxfId="233" priority="41" operator="greaterThan">
      <formula>$D$32</formula>
    </cfRule>
  </conditionalFormatting>
  <conditionalFormatting sqref="H77">
    <cfRule type="cellIs" dxfId="232" priority="33" operator="greaterThan">
      <formula>$D$33</formula>
    </cfRule>
    <cfRule type="cellIs" dxfId="231" priority="40" operator="greaterThan">
      <formula>$D$33</formula>
    </cfRule>
  </conditionalFormatting>
  <conditionalFormatting sqref="H78">
    <cfRule type="cellIs" dxfId="230" priority="32" operator="greaterThan">
      <formula>$D$34</formula>
    </cfRule>
    <cfRule type="cellIs" dxfId="229" priority="39" operator="greaterThan">
      <formula>$D$34</formula>
    </cfRule>
  </conditionalFormatting>
  <conditionalFormatting sqref="H79">
    <cfRule type="cellIs" dxfId="228" priority="31" operator="greaterThan">
      <formula>$D$35</formula>
    </cfRule>
    <cfRule type="cellIs" dxfId="227" priority="38" operator="greaterThan">
      <formula>$D$35</formula>
    </cfRule>
  </conditionalFormatting>
  <conditionalFormatting sqref="H80">
    <cfRule type="cellIs" dxfId="226" priority="30" operator="greaterThan">
      <formula>$D$36</formula>
    </cfRule>
    <cfRule type="cellIs" dxfId="225" priority="37" operator="greaterThan">
      <formula>$D$36</formula>
    </cfRule>
  </conditionalFormatting>
  <conditionalFormatting sqref="H81">
    <cfRule type="cellIs" dxfId="224" priority="29" operator="greaterThan">
      <formula>$D$37</formula>
    </cfRule>
    <cfRule type="cellIs" dxfId="223" priority="36" operator="greaterThan">
      <formula>$D$37</formula>
    </cfRule>
  </conditionalFormatting>
  <conditionalFormatting sqref="H82">
    <cfRule type="cellIs" dxfId="222" priority="28" operator="greaterThan">
      <formula>$D$38</formula>
    </cfRule>
    <cfRule type="cellIs" dxfId="221" priority="35" operator="greaterThan">
      <formula>$D$38</formula>
    </cfRule>
  </conditionalFormatting>
  <conditionalFormatting sqref="H83">
    <cfRule type="cellIs" dxfId="220" priority="27" operator="greaterThan">
      <formula>$D$39</formula>
    </cfRule>
    <cfRule type="cellIs" dxfId="219" priority="34" operator="greaterThan">
      <formula>$D$39</formula>
    </cfRule>
  </conditionalFormatting>
  <conditionalFormatting sqref="K76:K83">
    <cfRule type="cellIs" dxfId="218" priority="6" operator="lessThan">
      <formula>0</formula>
    </cfRule>
    <cfRule type="cellIs" dxfId="217" priority="7" operator="lessThan">
      <formula>0</formula>
    </cfRule>
    <cfRule type="cellIs" dxfId="216" priority="8" operator="greaterThan">
      <formula>0</formula>
    </cfRule>
    <cfRule type="cellIs" dxfId="215" priority="23" operator="greaterThan">
      <formula>$D$32</formula>
    </cfRule>
  </conditionalFormatting>
  <conditionalFormatting sqref="K77">
    <cfRule type="cellIs" dxfId="214" priority="15" operator="greaterThan">
      <formula>$D$33</formula>
    </cfRule>
    <cfRule type="cellIs" dxfId="213" priority="22" operator="greaterThan">
      <formula>$D$33</formula>
    </cfRule>
  </conditionalFormatting>
  <conditionalFormatting sqref="K78">
    <cfRule type="cellIs" dxfId="212" priority="14" operator="greaterThan">
      <formula>$D$34</formula>
    </cfRule>
    <cfRule type="cellIs" dxfId="211" priority="21" operator="greaterThan">
      <formula>$D$34</formula>
    </cfRule>
  </conditionalFormatting>
  <conditionalFormatting sqref="K79">
    <cfRule type="cellIs" dxfId="210" priority="13" operator="greaterThan">
      <formula>$D$35</formula>
    </cfRule>
    <cfRule type="cellIs" dxfId="209" priority="20" operator="greaterThan">
      <formula>$D$35</formula>
    </cfRule>
  </conditionalFormatting>
  <conditionalFormatting sqref="K80">
    <cfRule type="cellIs" dxfId="208" priority="12" operator="greaterThan">
      <formula>$D$36</formula>
    </cfRule>
    <cfRule type="cellIs" dxfId="207" priority="19" operator="greaterThan">
      <formula>$D$36</formula>
    </cfRule>
  </conditionalFormatting>
  <conditionalFormatting sqref="K81">
    <cfRule type="cellIs" dxfId="206" priority="11" operator="greaterThan">
      <formula>$D$37</formula>
    </cfRule>
    <cfRule type="cellIs" dxfId="205" priority="18" operator="greaterThan">
      <formula>$D$37</formula>
    </cfRule>
  </conditionalFormatting>
  <conditionalFormatting sqref="K82">
    <cfRule type="cellIs" dxfId="204" priority="10" operator="greaterThan">
      <formula>$D$38</formula>
    </cfRule>
    <cfRule type="cellIs" dxfId="203" priority="17" operator="greaterThan">
      <formula>$D$38</formula>
    </cfRule>
  </conditionalFormatting>
  <conditionalFormatting sqref="K83">
    <cfRule type="cellIs" dxfId="202" priority="9" operator="greaterThan">
      <formula>$D$39</formula>
    </cfRule>
    <cfRule type="cellIs" dxfId="201" priority="16" operator="greaterThan">
      <formula>$D$39</formula>
    </cfRule>
  </conditionalFormatting>
  <conditionalFormatting sqref="D76:D83">
    <cfRule type="cellIs" dxfId="200" priority="2" operator="greaterThan">
      <formula>0</formula>
    </cfRule>
  </conditionalFormatting>
  <conditionalFormatting sqref="I62:I69">
    <cfRule type="cellIs" dxfId="199" priority="1" operator="greaterThan">
      <formula>0</formula>
    </cfRule>
  </conditionalFormatting>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2"/>
  <sheetViews>
    <sheetView topLeftCell="B1" workbookViewId="0">
      <selection activeCell="H7" sqref="H7"/>
    </sheetView>
  </sheetViews>
  <sheetFormatPr defaultRowHeight="15" x14ac:dyDescent="0.25"/>
  <cols>
    <col min="2" max="2" width="29.42578125" customWidth="1"/>
    <col min="3" max="3" width="19" customWidth="1"/>
    <col min="4" max="4" width="21.42578125" customWidth="1"/>
    <col min="5" max="5" width="17" customWidth="1"/>
    <col min="6" max="6" width="15.7109375" customWidth="1"/>
    <col min="7" max="7" width="20.85546875" customWidth="1"/>
    <col min="8" max="8" width="20" customWidth="1"/>
    <col min="9" max="9" width="19.42578125" customWidth="1"/>
    <col min="10" max="10" width="20.28515625" customWidth="1"/>
    <col min="11" max="11" width="19.7109375" customWidth="1"/>
    <col min="12" max="12" width="14.85546875" customWidth="1"/>
    <col min="13" max="13" width="18.85546875" customWidth="1"/>
    <col min="14" max="14" width="19.5703125" customWidth="1"/>
    <col min="15" max="15" width="15.5703125" customWidth="1"/>
    <col min="16" max="16" width="18.140625" customWidth="1"/>
    <col min="17" max="17" width="17.42578125" customWidth="1"/>
    <col min="18" max="19" width="17.5703125" customWidth="1"/>
    <col min="20" max="20" width="18.140625" customWidth="1"/>
    <col min="21" max="21" width="15.5703125" customWidth="1"/>
  </cols>
  <sheetData>
    <row r="1" spans="2:13" ht="18.75" x14ac:dyDescent="0.3">
      <c r="B1" s="198" t="s">
        <v>271</v>
      </c>
    </row>
    <row r="2" spans="2:13" ht="18.75" x14ac:dyDescent="0.3">
      <c r="B2" s="198" t="s">
        <v>243</v>
      </c>
    </row>
    <row r="3" spans="2:13" ht="15.75" thickBot="1" x14ac:dyDescent="0.3">
      <c r="B3" s="174"/>
    </row>
    <row r="4" spans="2:13" ht="23.25" customHeight="1" thickBot="1" x14ac:dyDescent="0.3">
      <c r="B4" s="104" t="s">
        <v>20</v>
      </c>
      <c r="C4" s="11"/>
      <c r="D4" s="348" t="s">
        <v>143</v>
      </c>
      <c r="E4" s="349"/>
      <c r="F4" s="349"/>
      <c r="G4" s="350"/>
      <c r="H4" s="364" t="s">
        <v>188</v>
      </c>
      <c r="I4" s="366" t="s">
        <v>74</v>
      </c>
      <c r="J4" s="193" t="s">
        <v>46</v>
      </c>
      <c r="K4" s="194" t="s">
        <v>76</v>
      </c>
    </row>
    <row r="5" spans="2:13" ht="35.25" customHeight="1" thickBot="1" x14ac:dyDescent="0.3">
      <c r="B5" s="105"/>
      <c r="C5" s="10"/>
      <c r="D5" s="190" t="s">
        <v>62</v>
      </c>
      <c r="E5" s="191" t="s">
        <v>100</v>
      </c>
      <c r="F5" s="191" t="s">
        <v>189</v>
      </c>
      <c r="G5" s="192" t="s">
        <v>63</v>
      </c>
      <c r="H5" s="365"/>
      <c r="I5" s="367"/>
      <c r="J5" s="195" t="s">
        <v>24</v>
      </c>
      <c r="K5" s="196" t="s">
        <v>77</v>
      </c>
      <c r="L5" s="178"/>
      <c r="M5" s="178"/>
    </row>
    <row r="6" spans="2:13" x14ac:dyDescent="0.25">
      <c r="B6" s="105" t="s">
        <v>21</v>
      </c>
      <c r="C6" s="10"/>
      <c r="D6" s="259">
        <v>0</v>
      </c>
      <c r="E6" s="260">
        <v>0</v>
      </c>
      <c r="F6" s="260">
        <v>1</v>
      </c>
      <c r="G6" s="260">
        <v>0</v>
      </c>
      <c r="H6" s="226">
        <f>(D6*$D$17+E6*$D$16+F6*$D$18+G6*$D$17)*75%</f>
        <v>15289.5</v>
      </c>
      <c r="I6" s="292">
        <f>C37/50000*H6</f>
        <v>10799.279639999999</v>
      </c>
      <c r="J6" s="162">
        <v>1</v>
      </c>
      <c r="K6" s="294">
        <f>J6*'Social Prescribing "100%"'!H24</f>
        <v>0</v>
      </c>
      <c r="L6" s="22"/>
      <c r="M6" s="174"/>
    </row>
    <row r="7" spans="2:13" x14ac:dyDescent="0.25">
      <c r="B7" s="105" t="s">
        <v>22</v>
      </c>
      <c r="C7" s="10"/>
      <c r="D7" s="259">
        <v>1</v>
      </c>
      <c r="E7" s="260">
        <v>0</v>
      </c>
      <c r="F7" s="260">
        <v>1</v>
      </c>
      <c r="G7" s="260">
        <v>1</v>
      </c>
      <c r="H7" s="226">
        <f>(D7*$D$17+E7*$D$16+F7*$D$18+G7*$D$17)*(100%+$C$21)</f>
        <v>50474.496000000006</v>
      </c>
      <c r="I7" s="292">
        <f>$C$37/50000*H7</f>
        <v>35651.146014720005</v>
      </c>
      <c r="J7" s="162">
        <v>2</v>
      </c>
      <c r="K7" s="294">
        <f>J7*'Social Prescribing "100%"'!I25</f>
        <v>0</v>
      </c>
      <c r="L7" s="21"/>
    </row>
    <row r="8" spans="2:13" x14ac:dyDescent="0.25">
      <c r="B8" s="105" t="s">
        <v>129</v>
      </c>
      <c r="C8" s="10"/>
      <c r="D8" s="259">
        <v>1</v>
      </c>
      <c r="E8" s="260">
        <v>1</v>
      </c>
      <c r="F8" s="260">
        <v>2</v>
      </c>
      <c r="G8" s="260">
        <v>1</v>
      </c>
      <c r="H8" s="226">
        <f>(D8*$D$17+E8*$D$16+F8*$D$18+G8*$D$17)*(100%+$C$21)^2</f>
        <v>85384.157503004491</v>
      </c>
      <c r="I8" s="292">
        <f>$C$37/50000*H8</f>
        <v>60308.53812752213</v>
      </c>
      <c r="J8" s="162">
        <v>2</v>
      </c>
      <c r="K8" s="294">
        <f>J8*'Social Prescribing "100%"'!H26</f>
        <v>0</v>
      </c>
      <c r="L8" s="21"/>
    </row>
    <row r="9" spans="2:13" x14ac:dyDescent="0.25">
      <c r="B9" s="105" t="s">
        <v>23</v>
      </c>
      <c r="C9" s="10"/>
      <c r="D9" s="259">
        <v>1</v>
      </c>
      <c r="E9" s="260">
        <v>1</v>
      </c>
      <c r="F9" s="260">
        <v>3</v>
      </c>
      <c r="G9" s="260">
        <v>1</v>
      </c>
      <c r="H9" s="226">
        <f>(D9*$D$17+E9*$D$16+F9*$D$18+G9*$D$17)*(100%+$C$21)^3</f>
        <v>108725.62694106456</v>
      </c>
      <c r="I9" s="292">
        <f>$C$37/50000*H9</f>
        <v>76795.084821012715</v>
      </c>
      <c r="J9" s="162">
        <v>3</v>
      </c>
      <c r="K9" s="294">
        <f>J9*'Social Prescribing "100%"'!H27</f>
        <v>2012.0752999677061</v>
      </c>
      <c r="L9" s="257" t="s">
        <v>235</v>
      </c>
    </row>
    <row r="10" spans="2:13" ht="17.25" customHeight="1" thickBot="1" x14ac:dyDescent="0.3">
      <c r="B10" s="106" t="s">
        <v>130</v>
      </c>
      <c r="C10" s="81"/>
      <c r="D10" s="261">
        <v>1</v>
      </c>
      <c r="E10" s="262">
        <v>1</v>
      </c>
      <c r="F10" s="262">
        <v>4</v>
      </c>
      <c r="G10" s="262">
        <v>1</v>
      </c>
      <c r="H10" s="239">
        <f>(D10*$D$17+E10*$D$16+F10*$D$18+G10*$D$17)*(100%+$C$21)^4</f>
        <v>132966.60149364587</v>
      </c>
      <c r="I10" s="293">
        <f>$C$37/50000*H10</f>
        <v>93916.969966991936</v>
      </c>
      <c r="J10" s="189">
        <v>3</v>
      </c>
      <c r="K10" s="295">
        <f>J10*'Social Prescribing "100%"'!H28</f>
        <v>6151.4136119341165</v>
      </c>
      <c r="L10" s="257" t="s">
        <v>235</v>
      </c>
    </row>
    <row r="11" spans="2:13" ht="19.5" customHeight="1" x14ac:dyDescent="0.25">
      <c r="F11" s="14"/>
      <c r="H11" s="21"/>
      <c r="I11" s="14"/>
      <c r="J11" s="21"/>
      <c r="K11" s="21"/>
    </row>
    <row r="12" spans="2:13" ht="19.5" customHeight="1" x14ac:dyDescent="0.25">
      <c r="F12" s="351" t="s">
        <v>215</v>
      </c>
      <c r="G12" s="352"/>
      <c r="H12" s="352"/>
      <c r="I12" s="14"/>
      <c r="J12" s="21"/>
      <c r="K12" s="21"/>
    </row>
    <row r="13" spans="2:13" ht="24.75" customHeight="1" thickBot="1" x14ac:dyDescent="0.3">
      <c r="B13" s="141" t="s">
        <v>110</v>
      </c>
      <c r="F13" s="352"/>
      <c r="G13" s="352"/>
      <c r="H13" s="352"/>
      <c r="I13" s="14"/>
      <c r="J13" s="21"/>
      <c r="K13" s="21"/>
    </row>
    <row r="14" spans="2:13" ht="15" customHeight="1" thickBot="1" x14ac:dyDescent="0.3">
      <c r="B14" s="206" t="s">
        <v>67</v>
      </c>
      <c r="C14" s="207" t="s">
        <v>0</v>
      </c>
      <c r="D14" s="208" t="s">
        <v>234</v>
      </c>
      <c r="F14" s="352"/>
      <c r="G14" s="352"/>
      <c r="H14" s="352"/>
      <c r="I14" s="14"/>
      <c r="J14" s="21"/>
      <c r="K14" s="21"/>
    </row>
    <row r="15" spans="2:13" x14ac:dyDescent="0.25">
      <c r="B15" s="205" t="s">
        <v>64</v>
      </c>
      <c r="C15" s="244">
        <f>'A4C Pay Bands (pharm ACP etc)'!$D$9</f>
        <v>26220</v>
      </c>
      <c r="D15" s="245">
        <v>0</v>
      </c>
      <c r="E15" t="s">
        <v>84</v>
      </c>
      <c r="F15" s="352"/>
      <c r="G15" s="352"/>
      <c r="H15" s="352"/>
      <c r="I15" s="14"/>
      <c r="J15" s="21"/>
      <c r="K15" s="21"/>
    </row>
    <row r="16" spans="2:13" x14ac:dyDescent="0.25">
      <c r="B16" s="111" t="s">
        <v>65</v>
      </c>
      <c r="C16" s="246">
        <f>'A4C Pay Bands (pharm ACP etc)'!$D$17</f>
        <v>32525</v>
      </c>
      <c r="D16" s="247">
        <f>'A4C Pay Bands (pharm ACP etc)'!$K$17</f>
        <v>12197.786604195004</v>
      </c>
      <c r="E16" t="s">
        <v>93</v>
      </c>
      <c r="F16" s="14"/>
      <c r="H16" s="21"/>
      <c r="I16" s="14"/>
      <c r="J16" s="21"/>
      <c r="K16" s="21"/>
    </row>
    <row r="17" spans="2:11" x14ac:dyDescent="0.25">
      <c r="B17" s="111" t="s">
        <v>66</v>
      </c>
      <c r="C17" s="246">
        <f>'A4C Pay Bands (pharm ACP etc)'!$D$26</f>
        <v>38765</v>
      </c>
      <c r="D17" s="247">
        <f>'A4C Pay Bands (pharm ACP etc)'!$K$26</f>
        <v>14549.400000000001</v>
      </c>
      <c r="E17" t="s">
        <v>173</v>
      </c>
      <c r="F17" s="14"/>
      <c r="H17" s="21"/>
      <c r="I17" s="14"/>
      <c r="J17" s="21"/>
      <c r="K17" s="21"/>
    </row>
    <row r="18" spans="2:11" ht="15.75" thickBot="1" x14ac:dyDescent="0.3">
      <c r="B18" s="113" t="s">
        <v>171</v>
      </c>
      <c r="C18" s="248">
        <f>'A4C Pay Bands (pharm ACP etc)'!D34</f>
        <v>46331</v>
      </c>
      <c r="D18" s="249">
        <f>'A4C Pay Bands (pharm ACP etc)'!$K$34</f>
        <v>20386</v>
      </c>
      <c r="E18" t="s">
        <v>172</v>
      </c>
      <c r="F18" s="14"/>
      <c r="H18" s="21"/>
      <c r="I18" s="14"/>
      <c r="J18" s="21"/>
      <c r="K18" s="21"/>
    </row>
    <row r="19" spans="2:11" x14ac:dyDescent="0.25">
      <c r="F19" s="14"/>
      <c r="H19" s="21"/>
      <c r="I19" s="14"/>
      <c r="J19" s="21"/>
      <c r="K19" s="21"/>
    </row>
    <row r="21" spans="2:11" ht="21" x14ac:dyDescent="0.35">
      <c r="B21" s="199" t="s">
        <v>45</v>
      </c>
      <c r="C21" s="263">
        <v>0.02</v>
      </c>
      <c r="D21" s="142" t="s">
        <v>96</v>
      </c>
      <c r="E21" s="48"/>
    </row>
    <row r="22" spans="2:11" ht="23.25" x14ac:dyDescent="0.35">
      <c r="B22" s="99"/>
      <c r="C22" s="131"/>
      <c r="D22" s="47"/>
      <c r="E22" s="48"/>
    </row>
    <row r="23" spans="2:11" x14ac:dyDescent="0.25">
      <c r="B23" s="34"/>
    </row>
    <row r="24" spans="2:11" ht="21" x14ac:dyDescent="0.35">
      <c r="B24" s="200" t="s">
        <v>102</v>
      </c>
    </row>
    <row r="25" spans="2:11" ht="21.75" thickBot="1" x14ac:dyDescent="0.4">
      <c r="B25" s="183" t="s">
        <v>155</v>
      </c>
      <c r="C25" s="95"/>
      <c r="D25" s="45"/>
      <c r="E25" s="45"/>
      <c r="F25" s="45"/>
      <c r="G25" s="45"/>
      <c r="H25" s="45"/>
      <c r="I25" s="45"/>
      <c r="J25" s="45"/>
      <c r="K25" s="45"/>
    </row>
    <row r="26" spans="2:11" ht="15.75" thickBot="1" x14ac:dyDescent="0.3">
      <c r="B26" s="16" t="s">
        <v>108</v>
      </c>
      <c r="C26" s="96"/>
      <c r="D26" s="119"/>
      <c r="E26" s="342" t="s">
        <v>47</v>
      </c>
      <c r="F26" s="343"/>
      <c r="G26" s="344"/>
      <c r="H26" s="342" t="s">
        <v>69</v>
      </c>
      <c r="I26" s="343"/>
      <c r="J26" s="344"/>
    </row>
    <row r="27" spans="2:11" ht="15.75" thickBot="1" x14ac:dyDescent="0.3">
      <c r="B27" s="16"/>
      <c r="C27" s="97"/>
      <c r="D27" s="362" t="s">
        <v>91</v>
      </c>
      <c r="E27" s="345"/>
      <c r="F27" s="346"/>
      <c r="G27" s="347"/>
      <c r="H27" s="345"/>
      <c r="I27" s="346"/>
      <c r="J27" s="347"/>
    </row>
    <row r="28" spans="2:11" ht="16.5" thickBot="1" x14ac:dyDescent="0.3">
      <c r="B28" s="17"/>
      <c r="C28" s="117" t="s">
        <v>30</v>
      </c>
      <c r="D28" s="363"/>
      <c r="E28" s="120" t="s">
        <v>68</v>
      </c>
      <c r="F28" s="121" t="s">
        <v>92</v>
      </c>
      <c r="G28" s="122" t="s">
        <v>98</v>
      </c>
      <c r="H28" s="120" t="s">
        <v>68</v>
      </c>
      <c r="I28" s="121" t="s">
        <v>92</v>
      </c>
      <c r="J28" s="122" t="s">
        <v>98</v>
      </c>
    </row>
    <row r="29" spans="2:11" x14ac:dyDescent="0.25">
      <c r="B29" s="187" t="s">
        <v>244</v>
      </c>
      <c r="C29" s="188">
        <v>11162</v>
      </c>
      <c r="D29" s="250">
        <f>'PCN Funding streams'!$D$9*C29</f>
        <v>19645.12</v>
      </c>
      <c r="E29" s="251">
        <f t="shared" ref="E29:E36" si="0">$I$6*$C29/$C$37</f>
        <v>3413.2279799999997</v>
      </c>
      <c r="F29" s="252">
        <f>$J$6*'Social Prescribing "100%"'!$H$24/$C$37*$C29</f>
        <v>0</v>
      </c>
      <c r="G29" s="27">
        <f t="shared" ref="G29:G36" si="1">D29-F29-E29</f>
        <v>16231.892019999999</v>
      </c>
      <c r="H29" s="251">
        <f t="shared" ref="H29:H36" si="2">$I$7*$C29/$C$37</f>
        <v>11267.926487040002</v>
      </c>
      <c r="I29" s="252">
        <f>$J$7*'Social Prescribing "100%"'!$H$25/$C$37*$C29</f>
        <v>0</v>
      </c>
      <c r="J29" s="252">
        <f t="shared" ref="J29:J36" si="3">D29-H29-I29</f>
        <v>8377.193512959997</v>
      </c>
    </row>
    <row r="30" spans="2:11" x14ac:dyDescent="0.25">
      <c r="B30" s="187" t="s">
        <v>245</v>
      </c>
      <c r="C30" s="188">
        <v>10754</v>
      </c>
      <c r="D30" s="250">
        <f>'PCN Funding streams'!$D$9*C30</f>
        <v>18927.04</v>
      </c>
      <c r="E30" s="251">
        <f t="shared" si="0"/>
        <v>3288.4656599999994</v>
      </c>
      <c r="F30" s="252">
        <f>$J$6*'Social Prescribing "100%"'!$H$24/$C$37*$C30</f>
        <v>0</v>
      </c>
      <c r="G30" s="27">
        <f t="shared" si="1"/>
        <v>15638.574340000001</v>
      </c>
      <c r="H30" s="251">
        <f t="shared" si="2"/>
        <v>10856.054599680003</v>
      </c>
      <c r="I30" s="252">
        <f>$J$7*'Social Prescribing "100%"'!$H$25/$C$37*$C30</f>
        <v>0</v>
      </c>
      <c r="J30" s="252">
        <f t="shared" si="3"/>
        <v>8070.985400319998</v>
      </c>
    </row>
    <row r="31" spans="2:11" x14ac:dyDescent="0.25">
      <c r="B31" s="187" t="s">
        <v>246</v>
      </c>
      <c r="C31" s="188">
        <v>13400</v>
      </c>
      <c r="D31" s="250">
        <f>'PCN Funding streams'!$D$9*C31</f>
        <v>23584</v>
      </c>
      <c r="E31" s="251">
        <f t="shared" si="0"/>
        <v>4097.5860000000002</v>
      </c>
      <c r="F31" s="252">
        <f>$J$6*'Social Prescribing "100%"'!$H$24/$C$37*$C31</f>
        <v>0</v>
      </c>
      <c r="G31" s="27">
        <f t="shared" si="1"/>
        <v>19486.414000000001</v>
      </c>
      <c r="H31" s="251">
        <f t="shared" si="2"/>
        <v>13527.164928000002</v>
      </c>
      <c r="I31" s="252">
        <f>$J$7*'Social Prescribing "100%"'!$H$25/$C$37*$C31</f>
        <v>0</v>
      </c>
      <c r="J31" s="252">
        <f t="shared" si="3"/>
        <v>10056.835071999998</v>
      </c>
    </row>
    <row r="32" spans="2:11" x14ac:dyDescent="0.25">
      <c r="B32" s="187" t="s">
        <v>25</v>
      </c>
      <c r="C32" s="188">
        <v>0</v>
      </c>
      <c r="D32" s="250">
        <f>'PCN Funding streams'!$D$9*C32</f>
        <v>0</v>
      </c>
      <c r="E32" s="251">
        <f t="shared" si="0"/>
        <v>0</v>
      </c>
      <c r="F32" s="252">
        <f>$J$6*'Social Prescribing "100%"'!$H$24/$C$37*$C32</f>
        <v>0</v>
      </c>
      <c r="G32" s="27">
        <f t="shared" si="1"/>
        <v>0</v>
      </c>
      <c r="H32" s="251">
        <f t="shared" si="2"/>
        <v>0</v>
      </c>
      <c r="I32" s="252">
        <f>$J$7*'Social Prescribing "100%"'!$H$25/$C$37*$C32</f>
        <v>0</v>
      </c>
      <c r="J32" s="252">
        <f t="shared" si="3"/>
        <v>0</v>
      </c>
    </row>
    <row r="33" spans="2:11" x14ac:dyDescent="0.25">
      <c r="B33" s="187" t="s">
        <v>26</v>
      </c>
      <c r="C33" s="188">
        <v>0</v>
      </c>
      <c r="D33" s="250">
        <f>'PCN Funding streams'!$D$9*C33</f>
        <v>0</v>
      </c>
      <c r="E33" s="251">
        <f t="shared" si="0"/>
        <v>0</v>
      </c>
      <c r="F33" s="252">
        <f>$J$6*'Social Prescribing "100%"'!$H$24/$C$37*$C33</f>
        <v>0</v>
      </c>
      <c r="G33" s="27">
        <f t="shared" si="1"/>
        <v>0</v>
      </c>
      <c r="H33" s="251">
        <f t="shared" si="2"/>
        <v>0</v>
      </c>
      <c r="I33" s="252">
        <f>$J$7*'Social Prescribing "100%"'!$H$25/$C$37*$C33</f>
        <v>0</v>
      </c>
      <c r="J33" s="252">
        <f t="shared" si="3"/>
        <v>0</v>
      </c>
    </row>
    <row r="34" spans="2:11" x14ac:dyDescent="0.25">
      <c r="B34" s="187" t="s">
        <v>27</v>
      </c>
      <c r="C34" s="188">
        <v>0</v>
      </c>
      <c r="D34" s="250">
        <f>'PCN Funding streams'!$D$9*C34</f>
        <v>0</v>
      </c>
      <c r="E34" s="251">
        <f t="shared" si="0"/>
        <v>0</v>
      </c>
      <c r="F34" s="252">
        <f>$J$6*'Social Prescribing "100%"'!$H$24/$C$37*$C34</f>
        <v>0</v>
      </c>
      <c r="G34" s="27">
        <f t="shared" si="1"/>
        <v>0</v>
      </c>
      <c r="H34" s="251">
        <f t="shared" si="2"/>
        <v>0</v>
      </c>
      <c r="I34" s="252">
        <f>$J$7*'Social Prescribing "100%"'!$H$25/$C$37*$C34</f>
        <v>0</v>
      </c>
      <c r="J34" s="252">
        <f t="shared" si="3"/>
        <v>0</v>
      </c>
    </row>
    <row r="35" spans="2:11" x14ac:dyDescent="0.25">
      <c r="B35" s="187" t="s">
        <v>28</v>
      </c>
      <c r="C35" s="188">
        <v>0</v>
      </c>
      <c r="D35" s="250">
        <f>'PCN Funding streams'!$D$9*C35</f>
        <v>0</v>
      </c>
      <c r="E35" s="251">
        <f t="shared" si="0"/>
        <v>0</v>
      </c>
      <c r="F35" s="252">
        <f>$J$6*'Social Prescribing "100%"'!$H$24/$C$37*$C35</f>
        <v>0</v>
      </c>
      <c r="G35" s="27">
        <f t="shared" si="1"/>
        <v>0</v>
      </c>
      <c r="H35" s="251">
        <f t="shared" si="2"/>
        <v>0</v>
      </c>
      <c r="I35" s="252">
        <f>$J$7*'Social Prescribing "100%"'!$H$25/$C$37*$C35</f>
        <v>0</v>
      </c>
      <c r="J35" s="252">
        <f t="shared" si="3"/>
        <v>0</v>
      </c>
    </row>
    <row r="36" spans="2:11" ht="15.75" thickBot="1" x14ac:dyDescent="0.3">
      <c r="B36" s="187" t="s">
        <v>29</v>
      </c>
      <c r="C36" s="188">
        <v>0</v>
      </c>
      <c r="D36" s="253">
        <f>'PCN Funding streams'!$D$9*C36</f>
        <v>0</v>
      </c>
      <c r="E36" s="254">
        <f t="shared" si="0"/>
        <v>0</v>
      </c>
      <c r="F36" s="255">
        <f>$J$6*'Social Prescribing "100%"'!$H$24/$C$37*$C36</f>
        <v>0</v>
      </c>
      <c r="G36" s="82">
        <f t="shared" si="1"/>
        <v>0</v>
      </c>
      <c r="H36" s="254">
        <f t="shared" si="2"/>
        <v>0</v>
      </c>
      <c r="I36" s="255">
        <f>$J$7*'Social Prescribing "100%"'!$H$25/$C$37*$C36</f>
        <v>0</v>
      </c>
      <c r="J36" s="255">
        <f t="shared" si="3"/>
        <v>0</v>
      </c>
    </row>
    <row r="37" spans="2:11" ht="15.75" thickBot="1" x14ac:dyDescent="0.3">
      <c r="B37" s="138" t="s">
        <v>31</v>
      </c>
      <c r="C37" s="140">
        <f>SUM(C29:C36)</f>
        <v>35316</v>
      </c>
      <c r="D37" s="60"/>
      <c r="E37" s="60"/>
      <c r="F37" s="45"/>
      <c r="G37" s="45"/>
      <c r="H37" s="45"/>
      <c r="I37" s="45"/>
      <c r="J37" s="45"/>
      <c r="K37" s="45"/>
    </row>
    <row r="38" spans="2:11" x14ac:dyDescent="0.25">
      <c r="C38" s="98"/>
      <c r="D38" s="45"/>
      <c r="E38" s="45"/>
      <c r="F38" s="45"/>
      <c r="G38" s="45"/>
      <c r="H38" s="45"/>
      <c r="I38" s="45"/>
      <c r="J38" s="45"/>
      <c r="K38" s="45"/>
    </row>
    <row r="39" spans="2:11" ht="15.75" thickBot="1" x14ac:dyDescent="0.3">
      <c r="C39" s="45"/>
      <c r="D39" s="123"/>
      <c r="E39" s="45"/>
      <c r="F39" s="45"/>
      <c r="G39" s="45"/>
      <c r="H39" s="45"/>
      <c r="I39" s="45"/>
      <c r="J39" s="45"/>
      <c r="K39" s="45"/>
    </row>
    <row r="40" spans="2:11" x14ac:dyDescent="0.25">
      <c r="C40" s="342" t="s">
        <v>70</v>
      </c>
      <c r="D40" s="353"/>
      <c r="E40" s="354"/>
      <c r="F40" s="342" t="s">
        <v>71</v>
      </c>
      <c r="G40" s="353"/>
      <c r="H40" s="354"/>
      <c r="I40" s="342" t="s">
        <v>72</v>
      </c>
      <c r="J40" s="353"/>
      <c r="K40" s="354"/>
    </row>
    <row r="41" spans="2:11" ht="15.75" thickBot="1" x14ac:dyDescent="0.3">
      <c r="C41" s="355"/>
      <c r="D41" s="356"/>
      <c r="E41" s="357"/>
      <c r="F41" s="355"/>
      <c r="G41" s="356"/>
      <c r="H41" s="357"/>
      <c r="I41" s="355"/>
      <c r="J41" s="356"/>
      <c r="K41" s="357"/>
    </row>
    <row r="42" spans="2:11" ht="15.75" thickBot="1" x14ac:dyDescent="0.3">
      <c r="C42" s="120" t="s">
        <v>68</v>
      </c>
      <c r="D42" s="121" t="s">
        <v>92</v>
      </c>
      <c r="E42" s="122" t="s">
        <v>98</v>
      </c>
      <c r="F42" s="120" t="s">
        <v>68</v>
      </c>
      <c r="G42" s="121" t="s">
        <v>92</v>
      </c>
      <c r="H42" s="122" t="s">
        <v>98</v>
      </c>
      <c r="I42" s="120" t="s">
        <v>68</v>
      </c>
      <c r="J42" s="121" t="s">
        <v>92</v>
      </c>
      <c r="K42" s="122" t="s">
        <v>98</v>
      </c>
    </row>
    <row r="43" spans="2:11" x14ac:dyDescent="0.25">
      <c r="B43" s="132" t="str">
        <f>B29</f>
        <v>Practice #1</v>
      </c>
      <c r="C43" s="27">
        <f t="shared" ref="C43:C50" si="4">$I$8*$C29/$C$37</f>
        <v>19061.159320970721</v>
      </c>
      <c r="D43" s="252">
        <f>$J$8*'Social Prescribing "100%"'!$H$26/$C$37*$C43</f>
        <v>0</v>
      </c>
      <c r="E43" s="27">
        <f t="shared" ref="E43:E50" si="5">$D29-C43-D43</f>
        <v>583.96067902927825</v>
      </c>
      <c r="F43" s="251">
        <f t="shared" ref="F43:F50" si="6">$I$9*$C29/$C$37</f>
        <v>24271.908958323253</v>
      </c>
      <c r="G43" s="252">
        <f>$J$9*'Social Prescribing "100%"'!$H$27/$C$37*$C43</f>
        <v>1085.9805147376373</v>
      </c>
      <c r="H43" s="27">
        <f t="shared" ref="H43:H50" si="7">$D29-F43-G43</f>
        <v>-5712.769473060891</v>
      </c>
      <c r="I43" s="251">
        <f t="shared" ref="I43:I50" si="8">$I$10*$C29/$C$37</f>
        <v>29683.464117441501</v>
      </c>
      <c r="J43" s="252">
        <f>$J$10*'Social Prescribing "100%"'!$H$28/$C$37*$C43</f>
        <v>3320.1119862460114</v>
      </c>
      <c r="K43" s="252">
        <f t="shared" ref="K43:K50" si="9">$D29-I43-J43</f>
        <v>-13358.456103687513</v>
      </c>
    </row>
    <row r="44" spans="2:11" x14ac:dyDescent="0.25">
      <c r="B44" s="18" t="str">
        <f t="shared" ref="B44:B50" si="10">B30</f>
        <v>Practice #2</v>
      </c>
      <c r="C44" s="27">
        <f t="shared" si="4"/>
        <v>18364.424595746204</v>
      </c>
      <c r="D44" s="252">
        <f>$J$8*'Social Prescribing "100%"'!$H$26/$C$37*$C44</f>
        <v>0</v>
      </c>
      <c r="E44" s="27">
        <f t="shared" si="5"/>
        <v>562.61540425379644</v>
      </c>
      <c r="F44" s="251">
        <f t="shared" si="6"/>
        <v>23384.707842484164</v>
      </c>
      <c r="G44" s="252">
        <f>$J$9*'Social Prescribing "100%"'!$H$27/$C$37*$C44</f>
        <v>1046.285115166507</v>
      </c>
      <c r="H44" s="27">
        <f t="shared" si="7"/>
        <v>-5503.9529576506702</v>
      </c>
      <c r="I44" s="251">
        <f t="shared" si="8"/>
        <v>28598.456649253352</v>
      </c>
      <c r="J44" s="252">
        <f>$J$10*'Social Prescribing "100%"'!$H$28/$C$37*$C44</f>
        <v>3198.7532969082249</v>
      </c>
      <c r="K44" s="252">
        <f t="shared" si="9"/>
        <v>-12870.169946161575</v>
      </c>
    </row>
    <row r="45" spans="2:11" x14ac:dyDescent="0.25">
      <c r="B45" s="18" t="str">
        <f t="shared" si="10"/>
        <v>Practice #3</v>
      </c>
      <c r="C45" s="27">
        <f t="shared" si="4"/>
        <v>22882.954210805205</v>
      </c>
      <c r="D45" s="252">
        <f>$J$8*'Social Prescribing "100%"'!$H$26/$C$37*$C45</f>
        <v>0</v>
      </c>
      <c r="E45" s="27">
        <f t="shared" si="5"/>
        <v>701.04578919479536</v>
      </c>
      <c r="F45" s="251">
        <f t="shared" si="6"/>
        <v>29138.468020205299</v>
      </c>
      <c r="G45" s="252">
        <f>$J$9*'Social Prescribing "100%"'!$H$27/$C$37*$C45</f>
        <v>1303.721456502808</v>
      </c>
      <c r="H45" s="27">
        <f t="shared" si="7"/>
        <v>-6858.1894767081067</v>
      </c>
      <c r="I45" s="251">
        <f t="shared" si="8"/>
        <v>35635.049200297093</v>
      </c>
      <c r="J45" s="252">
        <f>$J$10*'Social Prescribing "100%"'!$H$28/$C$37*$C45</f>
        <v>3985.8000909959292</v>
      </c>
      <c r="K45" s="252">
        <f t="shared" si="9"/>
        <v>-16036.849291293023</v>
      </c>
    </row>
    <row r="46" spans="2:11" x14ac:dyDescent="0.25">
      <c r="B46" s="18" t="str">
        <f t="shared" si="10"/>
        <v>Practice #4</v>
      </c>
      <c r="C46" s="27">
        <f t="shared" si="4"/>
        <v>0</v>
      </c>
      <c r="D46" s="252">
        <f>$J$8*'Social Prescribing "100%"'!$H$26/$C$37*$C46</f>
        <v>0</v>
      </c>
      <c r="E46" s="27">
        <f t="shared" si="5"/>
        <v>0</v>
      </c>
      <c r="F46" s="251">
        <f t="shared" si="6"/>
        <v>0</v>
      </c>
      <c r="G46" s="252">
        <f>$J$9*'Social Prescribing "100%"'!$H$27/$C$37*$C46</f>
        <v>0</v>
      </c>
      <c r="H46" s="27">
        <f t="shared" si="7"/>
        <v>0</v>
      </c>
      <c r="I46" s="251">
        <f t="shared" si="8"/>
        <v>0</v>
      </c>
      <c r="J46" s="252">
        <f>$J$10*'Social Prescribing "100%"'!$H$28/$C$37*$C46</f>
        <v>0</v>
      </c>
      <c r="K46" s="252">
        <f t="shared" si="9"/>
        <v>0</v>
      </c>
    </row>
    <row r="47" spans="2:11" x14ac:dyDescent="0.25">
      <c r="B47" s="18" t="str">
        <f t="shared" si="10"/>
        <v>Practice #5</v>
      </c>
      <c r="C47" s="27">
        <f t="shared" si="4"/>
        <v>0</v>
      </c>
      <c r="D47" s="252">
        <f>$J$8*'Social Prescribing "100%"'!$H$26/$C$37*$C47</f>
        <v>0</v>
      </c>
      <c r="E47" s="27">
        <f t="shared" si="5"/>
        <v>0</v>
      </c>
      <c r="F47" s="251">
        <f t="shared" si="6"/>
        <v>0</v>
      </c>
      <c r="G47" s="252">
        <f>$J$9*'Social Prescribing "100%"'!$H$27/$C$37*$C47</f>
        <v>0</v>
      </c>
      <c r="H47" s="27">
        <f t="shared" si="7"/>
        <v>0</v>
      </c>
      <c r="I47" s="251">
        <f t="shared" si="8"/>
        <v>0</v>
      </c>
      <c r="J47" s="252">
        <f>$J$10*'Social Prescribing "100%"'!$H$28/$C$37*$C47</f>
        <v>0</v>
      </c>
      <c r="K47" s="252">
        <f t="shared" si="9"/>
        <v>0</v>
      </c>
    </row>
    <row r="48" spans="2:11" x14ac:dyDescent="0.25">
      <c r="B48" s="18" t="str">
        <f t="shared" si="10"/>
        <v>Practice #6</v>
      </c>
      <c r="C48" s="27">
        <f t="shared" si="4"/>
        <v>0</v>
      </c>
      <c r="D48" s="252">
        <f>$J$8*'Social Prescribing "100%"'!$H$26/$C$37*$C48</f>
        <v>0</v>
      </c>
      <c r="E48" s="27">
        <f t="shared" si="5"/>
        <v>0</v>
      </c>
      <c r="F48" s="251">
        <f t="shared" si="6"/>
        <v>0</v>
      </c>
      <c r="G48" s="252">
        <f>$J$9*'Social Prescribing "100%"'!$H$27/$C$37*$C48</f>
        <v>0</v>
      </c>
      <c r="H48" s="27">
        <f t="shared" si="7"/>
        <v>0</v>
      </c>
      <c r="I48" s="251">
        <f t="shared" si="8"/>
        <v>0</v>
      </c>
      <c r="J48" s="252">
        <f>$J$10*'Social Prescribing "100%"'!$H$28/$C$37*$C48</f>
        <v>0</v>
      </c>
      <c r="K48" s="252">
        <f t="shared" si="9"/>
        <v>0</v>
      </c>
    </row>
    <row r="49" spans="2:13" x14ac:dyDescent="0.25">
      <c r="B49" s="18" t="str">
        <f t="shared" si="10"/>
        <v>Practice #7</v>
      </c>
      <c r="C49" s="27">
        <f t="shared" si="4"/>
        <v>0</v>
      </c>
      <c r="D49" s="252">
        <f>$J$8*'Social Prescribing "100%"'!$H$26/$C$37*$C49</f>
        <v>0</v>
      </c>
      <c r="E49" s="27">
        <f t="shared" si="5"/>
        <v>0</v>
      </c>
      <c r="F49" s="251">
        <f t="shared" si="6"/>
        <v>0</v>
      </c>
      <c r="G49" s="252">
        <f>$J$9*'Social Prescribing "100%"'!$H$27/$C$37*$C49</f>
        <v>0</v>
      </c>
      <c r="H49" s="27">
        <f t="shared" si="7"/>
        <v>0</v>
      </c>
      <c r="I49" s="251">
        <f t="shared" si="8"/>
        <v>0</v>
      </c>
      <c r="J49" s="252">
        <f>$J$10*'Social Prescribing "100%"'!$H$28/$C$37*$C49</f>
        <v>0</v>
      </c>
      <c r="K49" s="252">
        <f t="shared" si="9"/>
        <v>0</v>
      </c>
    </row>
    <row r="50" spans="2:13" ht="15.75" thickBot="1" x14ac:dyDescent="0.3">
      <c r="B50" s="133" t="str">
        <f t="shared" si="10"/>
        <v>Practice #8</v>
      </c>
      <c r="C50" s="82">
        <f t="shared" si="4"/>
        <v>0</v>
      </c>
      <c r="D50" s="255">
        <f>$J$8*'Social Prescribing "100%"'!$H$26/$C$37*$C50</f>
        <v>0</v>
      </c>
      <c r="E50" s="82">
        <f t="shared" si="5"/>
        <v>0</v>
      </c>
      <c r="F50" s="254">
        <f t="shared" si="6"/>
        <v>0</v>
      </c>
      <c r="G50" s="255">
        <f>$J$9*'Social Prescribing "100%"'!$H$27/$C$37*$C50</f>
        <v>0</v>
      </c>
      <c r="H50" s="82">
        <f t="shared" si="7"/>
        <v>0</v>
      </c>
      <c r="I50" s="254">
        <f t="shared" si="8"/>
        <v>0</v>
      </c>
      <c r="J50" s="255">
        <f>$J$10*'Social Prescribing "100%"'!$H$28/$C$37*$C50</f>
        <v>0</v>
      </c>
      <c r="K50" s="255">
        <f t="shared" si="9"/>
        <v>0</v>
      </c>
    </row>
    <row r="51" spans="2:13" x14ac:dyDescent="0.25">
      <c r="C51" s="45"/>
      <c r="D51" s="45"/>
      <c r="E51" s="45"/>
      <c r="F51" s="45"/>
      <c r="G51" s="45"/>
      <c r="H51" s="45"/>
      <c r="I51" s="45"/>
      <c r="J51" s="45"/>
      <c r="K51" s="45"/>
      <c r="L51" s="19"/>
      <c r="M51" s="19"/>
    </row>
    <row r="52" spans="2:13" x14ac:dyDescent="0.25">
      <c r="B52" s="127"/>
      <c r="C52" s="125"/>
      <c r="D52" s="125"/>
      <c r="E52" s="125"/>
      <c r="F52" s="125"/>
      <c r="G52" s="125"/>
      <c r="H52" s="125"/>
      <c r="I52" s="125"/>
      <c r="J52" s="125"/>
      <c r="K52" s="125"/>
      <c r="L52" s="19"/>
      <c r="M52" s="19"/>
    </row>
    <row r="54" spans="2:13" ht="21" x14ac:dyDescent="0.35">
      <c r="B54" s="200" t="s">
        <v>101</v>
      </c>
    </row>
    <row r="55" spans="2:13" ht="21.75" thickBot="1" x14ac:dyDescent="0.4">
      <c r="B55" s="49" t="s">
        <v>157</v>
      </c>
      <c r="C55" s="95"/>
      <c r="D55" s="45"/>
      <c r="E55" s="45"/>
      <c r="F55" s="45"/>
      <c r="G55" s="45"/>
      <c r="H55" s="45"/>
      <c r="I55" s="45"/>
      <c r="J55" s="45"/>
      <c r="K55" s="45"/>
    </row>
    <row r="56" spans="2:13" ht="15.75" thickBot="1" x14ac:dyDescent="0.3">
      <c r="B56" s="16" t="s">
        <v>108</v>
      </c>
      <c r="C56" s="96"/>
      <c r="D56" s="119"/>
      <c r="E56" s="342" t="s">
        <v>47</v>
      </c>
      <c r="F56" s="343"/>
      <c r="G56" s="344"/>
      <c r="H56" s="342" t="s">
        <v>69</v>
      </c>
      <c r="I56" s="343"/>
      <c r="J56" s="344"/>
    </row>
    <row r="57" spans="2:13" ht="15.75" thickBot="1" x14ac:dyDescent="0.3">
      <c r="B57" s="16"/>
      <c r="C57" s="97"/>
      <c r="D57" s="362" t="s">
        <v>91</v>
      </c>
      <c r="E57" s="345"/>
      <c r="F57" s="346"/>
      <c r="G57" s="347"/>
      <c r="H57" s="345"/>
      <c r="I57" s="346"/>
      <c r="J57" s="347"/>
    </row>
    <row r="58" spans="2:13" ht="16.5" thickBot="1" x14ac:dyDescent="0.3">
      <c r="B58" s="17"/>
      <c r="C58" s="117" t="s">
        <v>30</v>
      </c>
      <c r="D58" s="363"/>
      <c r="E58" s="120" t="s">
        <v>68</v>
      </c>
      <c r="F58" s="121" t="s">
        <v>92</v>
      </c>
      <c r="G58" s="122" t="s">
        <v>98</v>
      </c>
      <c r="H58" s="120" t="s">
        <v>68</v>
      </c>
      <c r="I58" s="121" t="s">
        <v>92</v>
      </c>
      <c r="J58" s="121" t="s">
        <v>97</v>
      </c>
    </row>
    <row r="59" spans="2:13" x14ac:dyDescent="0.25">
      <c r="B59" s="12" t="str">
        <f>B29</f>
        <v>Practice #1</v>
      </c>
      <c r="C59" s="201">
        <f>C29</f>
        <v>11162</v>
      </c>
      <c r="D59" s="250">
        <f>'PCN Funding streams'!$D$9*C59</f>
        <v>19645.12</v>
      </c>
      <c r="E59" s="251">
        <f t="shared" ref="E59:E66" si="11">$I$6*$C59/$C$37</f>
        <v>3413.2279799999997</v>
      </c>
      <c r="F59" s="252">
        <f>$J$6*'Social Prescribing "100%"'!$H$24/$C$37*$C59</f>
        <v>0</v>
      </c>
      <c r="G59" s="27">
        <f t="shared" ref="G59:G66" si="12">D59-F59-E59</f>
        <v>16231.892019999999</v>
      </c>
      <c r="H59" s="251">
        <f t="shared" ref="H59:H66" si="13">$I$7*$C59/$C$37</f>
        <v>11267.926487040002</v>
      </c>
      <c r="I59" s="252">
        <f>$J$7*'Social Prescribing "100%"'!$H$25/$C$37*$C59</f>
        <v>0</v>
      </c>
      <c r="J59" s="252">
        <f>D59-H59-I59+IF(G59&gt;0,G59,0)</f>
        <v>24609.085532959994</v>
      </c>
    </row>
    <row r="60" spans="2:13" x14ac:dyDescent="0.25">
      <c r="B60" s="12" t="str">
        <f t="shared" ref="B60:B66" si="14">B30</f>
        <v>Practice #2</v>
      </c>
      <c r="C60" s="201">
        <f t="shared" ref="C60:C67" si="15">C30</f>
        <v>10754</v>
      </c>
      <c r="D60" s="250">
        <f>'PCN Funding streams'!$D$9*C60</f>
        <v>18927.04</v>
      </c>
      <c r="E60" s="251">
        <f t="shared" si="11"/>
        <v>3288.4656599999994</v>
      </c>
      <c r="F60" s="252">
        <f>$J$6*'Social Prescribing "100%"'!$H$24/$C$37*$C60</f>
        <v>0</v>
      </c>
      <c r="G60" s="27">
        <f t="shared" si="12"/>
        <v>15638.574340000001</v>
      </c>
      <c r="H60" s="251">
        <f t="shared" si="13"/>
        <v>10856.054599680003</v>
      </c>
      <c r="I60" s="252">
        <f>$J$7*'Social Prescribing "100%"'!$H$25/$C$37*$C60</f>
        <v>0</v>
      </c>
      <c r="J60" s="252">
        <f t="shared" ref="J60:J66" si="16">D60-H60-I60+IF(G60&gt;0,G60,0)</f>
        <v>23709.559740320001</v>
      </c>
    </row>
    <row r="61" spans="2:13" x14ac:dyDescent="0.25">
      <c r="B61" s="12" t="str">
        <f t="shared" si="14"/>
        <v>Practice #3</v>
      </c>
      <c r="C61" s="201">
        <f t="shared" si="15"/>
        <v>13400</v>
      </c>
      <c r="D61" s="250">
        <f>'PCN Funding streams'!$D$9*C61</f>
        <v>23584</v>
      </c>
      <c r="E61" s="251">
        <f t="shared" si="11"/>
        <v>4097.5860000000002</v>
      </c>
      <c r="F61" s="252">
        <f>$J$6*'Social Prescribing "100%"'!$H$24/$C$37*$C61</f>
        <v>0</v>
      </c>
      <c r="G61" s="27">
        <f t="shared" si="12"/>
        <v>19486.414000000001</v>
      </c>
      <c r="H61" s="251">
        <f t="shared" si="13"/>
        <v>13527.164928000002</v>
      </c>
      <c r="I61" s="252">
        <f>$J$7*'Social Prescribing "100%"'!$H$25/$C$37*$C61</f>
        <v>0</v>
      </c>
      <c r="J61" s="252">
        <f t="shared" si="16"/>
        <v>29543.249071999999</v>
      </c>
    </row>
    <row r="62" spans="2:13" x14ac:dyDescent="0.25">
      <c r="B62" s="12" t="str">
        <f t="shared" si="14"/>
        <v>Practice #4</v>
      </c>
      <c r="C62" s="201">
        <f t="shared" si="15"/>
        <v>0</v>
      </c>
      <c r="D62" s="250">
        <f>'PCN Funding streams'!$D$9*C62</f>
        <v>0</v>
      </c>
      <c r="E62" s="251">
        <f t="shared" si="11"/>
        <v>0</v>
      </c>
      <c r="F62" s="252">
        <f>$J$6*'Social Prescribing "100%"'!$H$24/$C$37*$C62</f>
        <v>0</v>
      </c>
      <c r="G62" s="27">
        <f t="shared" si="12"/>
        <v>0</v>
      </c>
      <c r="H62" s="251">
        <f t="shared" si="13"/>
        <v>0</v>
      </c>
      <c r="I62" s="252">
        <f>$J$7*'Social Prescribing "100%"'!$H$25/$C$37*$C62</f>
        <v>0</v>
      </c>
      <c r="J62" s="252">
        <f t="shared" si="16"/>
        <v>0</v>
      </c>
    </row>
    <row r="63" spans="2:13" x14ac:dyDescent="0.25">
      <c r="B63" s="12" t="str">
        <f t="shared" si="14"/>
        <v>Practice #5</v>
      </c>
      <c r="C63" s="201">
        <f t="shared" si="15"/>
        <v>0</v>
      </c>
      <c r="D63" s="250">
        <f>'PCN Funding streams'!$D$9*C63</f>
        <v>0</v>
      </c>
      <c r="E63" s="251">
        <f t="shared" si="11"/>
        <v>0</v>
      </c>
      <c r="F63" s="252">
        <f>$J$6*'Social Prescribing "100%"'!$H$24/$C$37*$C63</f>
        <v>0</v>
      </c>
      <c r="G63" s="27">
        <f t="shared" si="12"/>
        <v>0</v>
      </c>
      <c r="H63" s="251">
        <f t="shared" si="13"/>
        <v>0</v>
      </c>
      <c r="I63" s="252">
        <f>$J$7*'Social Prescribing "100%"'!$H$25/$C$37*$C63</f>
        <v>0</v>
      </c>
      <c r="J63" s="252">
        <f t="shared" si="16"/>
        <v>0</v>
      </c>
    </row>
    <row r="64" spans="2:13" x14ac:dyDescent="0.25">
      <c r="B64" s="12" t="str">
        <f t="shared" si="14"/>
        <v>Practice #6</v>
      </c>
      <c r="C64" s="201">
        <f t="shared" si="15"/>
        <v>0</v>
      </c>
      <c r="D64" s="250">
        <f>'PCN Funding streams'!$D$9*C64</f>
        <v>0</v>
      </c>
      <c r="E64" s="251">
        <f t="shared" si="11"/>
        <v>0</v>
      </c>
      <c r="F64" s="252">
        <f>$J$6*'Social Prescribing "100%"'!$H$24/$C$37*$C64</f>
        <v>0</v>
      </c>
      <c r="G64" s="27">
        <f t="shared" si="12"/>
        <v>0</v>
      </c>
      <c r="H64" s="251">
        <f t="shared" si="13"/>
        <v>0</v>
      </c>
      <c r="I64" s="252">
        <f>$J$7*'Social Prescribing "100%"'!$H$25/$C$37*$C64</f>
        <v>0</v>
      </c>
      <c r="J64" s="252">
        <f t="shared" si="16"/>
        <v>0</v>
      </c>
    </row>
    <row r="65" spans="2:11" x14ac:dyDescent="0.25">
      <c r="B65" s="12" t="str">
        <f t="shared" si="14"/>
        <v>Practice #7</v>
      </c>
      <c r="C65" s="201">
        <f t="shared" si="15"/>
        <v>0</v>
      </c>
      <c r="D65" s="250">
        <f>'PCN Funding streams'!$D$9*C65</f>
        <v>0</v>
      </c>
      <c r="E65" s="251">
        <f t="shared" si="11"/>
        <v>0</v>
      </c>
      <c r="F65" s="252">
        <f>$J$6*'Social Prescribing "100%"'!$H$24/$C$37*$C65</f>
        <v>0</v>
      </c>
      <c r="G65" s="27">
        <f t="shared" si="12"/>
        <v>0</v>
      </c>
      <c r="H65" s="251">
        <f t="shared" si="13"/>
        <v>0</v>
      </c>
      <c r="I65" s="252">
        <f>$J$7*'Social Prescribing "100%"'!$H$25/$C$37*$C65</f>
        <v>0</v>
      </c>
      <c r="J65" s="252">
        <f t="shared" si="16"/>
        <v>0</v>
      </c>
    </row>
    <row r="66" spans="2:11" ht="15.75" thickBot="1" x14ac:dyDescent="0.3">
      <c r="B66" s="12" t="str">
        <f t="shared" si="14"/>
        <v>Practice #8</v>
      </c>
      <c r="C66" s="201">
        <f t="shared" si="15"/>
        <v>0</v>
      </c>
      <c r="D66" s="253">
        <f>'PCN Funding streams'!$D$9*C66</f>
        <v>0</v>
      </c>
      <c r="E66" s="254">
        <f t="shared" si="11"/>
        <v>0</v>
      </c>
      <c r="F66" s="255">
        <f>$J$6*'Social Prescribing "100%"'!$H$24/$C$37*$C66</f>
        <v>0</v>
      </c>
      <c r="G66" s="82">
        <f t="shared" si="12"/>
        <v>0</v>
      </c>
      <c r="H66" s="254">
        <f t="shared" si="13"/>
        <v>0</v>
      </c>
      <c r="I66" s="255">
        <f>$J$7*'Social Prescribing "100%"'!$H$25/$C$37*$C66</f>
        <v>0</v>
      </c>
      <c r="J66" s="255">
        <f t="shared" si="16"/>
        <v>0</v>
      </c>
    </row>
    <row r="67" spans="2:11" ht="15.75" thickBot="1" x14ac:dyDescent="0.3">
      <c r="B67" s="138" t="s">
        <v>31</v>
      </c>
      <c r="C67" s="139">
        <f t="shared" si="15"/>
        <v>35316</v>
      </c>
      <c r="D67" s="60"/>
      <c r="E67" s="60"/>
      <c r="F67" s="45"/>
      <c r="G67" s="45"/>
      <c r="H67" s="45"/>
      <c r="I67" s="45"/>
      <c r="J67" s="45"/>
      <c r="K67" s="45"/>
    </row>
    <row r="68" spans="2:11" x14ac:dyDescent="0.25">
      <c r="C68" s="98"/>
      <c r="D68" s="45"/>
      <c r="E68" s="45"/>
      <c r="F68" s="45"/>
      <c r="G68" s="45"/>
      <c r="H68" s="45"/>
      <c r="I68" s="45"/>
      <c r="J68" s="45"/>
      <c r="K68" s="45"/>
    </row>
    <row r="69" spans="2:11" ht="15.75" thickBot="1" x14ac:dyDescent="0.3">
      <c r="C69" s="45"/>
      <c r="D69" s="45"/>
      <c r="E69" s="45"/>
      <c r="F69" s="45"/>
      <c r="G69" s="45"/>
      <c r="H69" s="45"/>
      <c r="I69" s="45"/>
      <c r="J69" s="45"/>
      <c r="K69" s="45"/>
    </row>
    <row r="70" spans="2:11" x14ac:dyDescent="0.25">
      <c r="B70" s="10"/>
      <c r="C70" s="342" t="s">
        <v>70</v>
      </c>
      <c r="D70" s="353"/>
      <c r="E70" s="354"/>
      <c r="F70" s="342" t="s">
        <v>71</v>
      </c>
      <c r="G70" s="353"/>
      <c r="H70" s="354"/>
      <c r="I70" s="342" t="s">
        <v>72</v>
      </c>
      <c r="J70" s="353"/>
      <c r="K70" s="354"/>
    </row>
    <row r="71" spans="2:11" ht="15.75" thickBot="1" x14ac:dyDescent="0.3">
      <c r="B71" s="258"/>
      <c r="C71" s="355"/>
      <c r="D71" s="356"/>
      <c r="E71" s="357"/>
      <c r="F71" s="355"/>
      <c r="G71" s="356"/>
      <c r="H71" s="357"/>
      <c r="I71" s="355"/>
      <c r="J71" s="356"/>
      <c r="K71" s="357"/>
    </row>
    <row r="72" spans="2:11" ht="15.75" thickBot="1" x14ac:dyDescent="0.3">
      <c r="B72" s="10"/>
      <c r="C72" s="134" t="s">
        <v>68</v>
      </c>
      <c r="D72" s="135" t="s">
        <v>92</v>
      </c>
      <c r="E72" s="121" t="s">
        <v>97</v>
      </c>
      <c r="F72" s="120" t="s">
        <v>68</v>
      </c>
      <c r="G72" s="121" t="s">
        <v>92</v>
      </c>
      <c r="H72" s="121" t="s">
        <v>97</v>
      </c>
      <c r="I72" s="120" t="s">
        <v>68</v>
      </c>
      <c r="J72" s="121" t="s">
        <v>92</v>
      </c>
      <c r="K72" s="121" t="s">
        <v>97</v>
      </c>
    </row>
    <row r="73" spans="2:11" x14ac:dyDescent="0.25">
      <c r="B73" s="132" t="str">
        <f>B29</f>
        <v>Practice #1</v>
      </c>
      <c r="C73" s="251">
        <f>$I$8*$C59/$C$37</f>
        <v>19061.159320970721</v>
      </c>
      <c r="D73" s="252">
        <f>$J$8*'Social Prescribing "100%"'!$H$26/$C$37*$C73</f>
        <v>0</v>
      </c>
      <c r="E73" s="27">
        <f>$D59-C73-D73+IF(J59&gt;0,J59,0)</f>
        <v>25193.046211989273</v>
      </c>
      <c r="F73" s="251">
        <f t="shared" ref="F73:F80" si="17">$I$9*$C59/$C$37</f>
        <v>24271.908958323253</v>
      </c>
      <c r="G73" s="252">
        <f>$J$9*'Social Prescribing "100%"'!$H$27/$C$37*$C73</f>
        <v>1085.9805147376373</v>
      </c>
      <c r="H73" s="27">
        <f>$D59-F73-G73+IF(E73&gt;0,E73,0)</f>
        <v>19480.276738928384</v>
      </c>
      <c r="I73" s="251">
        <f t="shared" ref="I73:I80" si="18">$I$10*$C59/$C$37</f>
        <v>29683.464117441501</v>
      </c>
      <c r="J73" s="252">
        <f>$J$10*'Social Prescribing "100%"'!$H$28/$C$37*$C73</f>
        <v>3320.1119862460114</v>
      </c>
      <c r="K73" s="252">
        <f>$D59-I73-J73+IF(H73&gt;0,H73,0)</f>
        <v>6121.8206352408706</v>
      </c>
    </row>
    <row r="74" spans="2:11" x14ac:dyDescent="0.25">
      <c r="B74" s="18" t="str">
        <f t="shared" ref="B74:B80" si="19">B30</f>
        <v>Practice #2</v>
      </c>
      <c r="C74" s="251">
        <f>$I$8*$C60/$C$37</f>
        <v>18364.424595746204</v>
      </c>
      <c r="D74" s="252">
        <f>$J$8*'Social Prescribing "100%"'!$H$26/$C$37*$C74</f>
        <v>0</v>
      </c>
      <c r="E74" s="27">
        <f t="shared" ref="E74:E80" si="20">$D60-C74-D74+IF(J60&gt;0,J60,0)</f>
        <v>24272.175144573797</v>
      </c>
      <c r="F74" s="251">
        <f t="shared" si="17"/>
        <v>23384.707842484164</v>
      </c>
      <c r="G74" s="252">
        <f>$J$9*'Social Prescribing "100%"'!$H$27/$C$37*$C74</f>
        <v>1046.285115166507</v>
      </c>
      <c r="H74" s="27">
        <f t="shared" ref="H74:H80" si="21">$D60-F74-G74+IF(E74&gt;0,E74,0)</f>
        <v>18768.222186923129</v>
      </c>
      <c r="I74" s="251">
        <f t="shared" si="18"/>
        <v>28598.456649253352</v>
      </c>
      <c r="J74" s="252">
        <f>$J$10*'Social Prescribing "100%"'!$H$28/$C$37*$C74</f>
        <v>3198.7532969082249</v>
      </c>
      <c r="K74" s="252">
        <f t="shared" ref="K74:K80" si="22">$D60-I74-J74+IF(H74&gt;0,H74,0)</f>
        <v>5898.0522407615535</v>
      </c>
    </row>
    <row r="75" spans="2:11" x14ac:dyDescent="0.25">
      <c r="B75" s="18" t="str">
        <f t="shared" si="19"/>
        <v>Practice #3</v>
      </c>
      <c r="C75" s="251">
        <f>$I$8*$C61/$C$37</f>
        <v>22882.954210805205</v>
      </c>
      <c r="D75" s="252">
        <f>$J$8*'Social Prescribing "100%"'!$H$26/$C$37*$C75</f>
        <v>0</v>
      </c>
      <c r="E75" s="27">
        <f t="shared" si="20"/>
        <v>30244.294861194794</v>
      </c>
      <c r="F75" s="251">
        <f t="shared" si="17"/>
        <v>29138.468020205299</v>
      </c>
      <c r="G75" s="252">
        <f>$J$9*'Social Prescribing "100%"'!$H$27/$C$37*$C75</f>
        <v>1303.721456502808</v>
      </c>
      <c r="H75" s="27">
        <f t="shared" si="21"/>
        <v>23386.105384486687</v>
      </c>
      <c r="I75" s="251">
        <f t="shared" si="18"/>
        <v>35635.049200297093</v>
      </c>
      <c r="J75" s="252">
        <f>$J$10*'Social Prescribing "100%"'!$H$28/$C$37*$C75</f>
        <v>3985.8000909959292</v>
      </c>
      <c r="K75" s="252">
        <f t="shared" si="22"/>
        <v>7349.2560931936641</v>
      </c>
    </row>
    <row r="76" spans="2:11" x14ac:dyDescent="0.25">
      <c r="B76" s="18" t="str">
        <f t="shared" si="19"/>
        <v>Practice #4</v>
      </c>
      <c r="C76" s="251">
        <f t="shared" ref="C76:C80" si="23">$I$8*$C62/$C$37</f>
        <v>0</v>
      </c>
      <c r="D76" s="252">
        <f>$J$8*'Social Prescribing "100%"'!$H$26/$C$37*$C76</f>
        <v>0</v>
      </c>
      <c r="E76" s="27">
        <f t="shared" si="20"/>
        <v>0</v>
      </c>
      <c r="F76" s="251">
        <f t="shared" si="17"/>
        <v>0</v>
      </c>
      <c r="G76" s="252">
        <f>$J$9*'Social Prescribing "100%"'!$H$27/$C$37*$C76</f>
        <v>0</v>
      </c>
      <c r="H76" s="27">
        <f t="shared" si="21"/>
        <v>0</v>
      </c>
      <c r="I76" s="251">
        <f t="shared" si="18"/>
        <v>0</v>
      </c>
      <c r="J76" s="252">
        <f>$J$10*'Social Prescribing "100%"'!$H$28/$C$37*$C76</f>
        <v>0</v>
      </c>
      <c r="K76" s="252">
        <f t="shared" si="22"/>
        <v>0</v>
      </c>
    </row>
    <row r="77" spans="2:11" x14ac:dyDescent="0.25">
      <c r="B77" s="18" t="str">
        <f t="shared" si="19"/>
        <v>Practice #5</v>
      </c>
      <c r="C77" s="251">
        <f t="shared" si="23"/>
        <v>0</v>
      </c>
      <c r="D77" s="252">
        <f>$J$8*'Social Prescribing "100%"'!$H$26/$C$37*$C77</f>
        <v>0</v>
      </c>
      <c r="E77" s="27">
        <f t="shared" si="20"/>
        <v>0</v>
      </c>
      <c r="F77" s="251">
        <f t="shared" si="17"/>
        <v>0</v>
      </c>
      <c r="G77" s="252">
        <f>$J$9*'Social Prescribing "100%"'!$H$27/$C$37*$C77</f>
        <v>0</v>
      </c>
      <c r="H77" s="27">
        <f t="shared" si="21"/>
        <v>0</v>
      </c>
      <c r="I77" s="251">
        <f t="shared" si="18"/>
        <v>0</v>
      </c>
      <c r="J77" s="252">
        <f>$J$10*'Social Prescribing "100%"'!$H$28/$C$37*$C77</f>
        <v>0</v>
      </c>
      <c r="K77" s="252">
        <f t="shared" si="22"/>
        <v>0</v>
      </c>
    </row>
    <row r="78" spans="2:11" x14ac:dyDescent="0.25">
      <c r="B78" s="18" t="str">
        <f t="shared" si="19"/>
        <v>Practice #6</v>
      </c>
      <c r="C78" s="251">
        <f t="shared" si="23"/>
        <v>0</v>
      </c>
      <c r="D78" s="252">
        <f>$J$8*'Social Prescribing "100%"'!$H$26/$C$37*$C78</f>
        <v>0</v>
      </c>
      <c r="E78" s="27">
        <f t="shared" si="20"/>
        <v>0</v>
      </c>
      <c r="F78" s="251">
        <f t="shared" si="17"/>
        <v>0</v>
      </c>
      <c r="G78" s="252">
        <f>$J$9*'Social Prescribing "100%"'!$H$27/$C$37*$C78</f>
        <v>0</v>
      </c>
      <c r="H78" s="27">
        <f t="shared" si="21"/>
        <v>0</v>
      </c>
      <c r="I78" s="251">
        <f t="shared" si="18"/>
        <v>0</v>
      </c>
      <c r="J78" s="252">
        <f>$J$10*'Social Prescribing "100%"'!$H$28/$C$37*$C78</f>
        <v>0</v>
      </c>
      <c r="K78" s="252">
        <f t="shared" si="22"/>
        <v>0</v>
      </c>
    </row>
    <row r="79" spans="2:11" x14ac:dyDescent="0.25">
      <c r="B79" s="18" t="str">
        <f t="shared" si="19"/>
        <v>Practice #7</v>
      </c>
      <c r="C79" s="251">
        <f t="shared" si="23"/>
        <v>0</v>
      </c>
      <c r="D79" s="252">
        <f>$J$8*'Social Prescribing "100%"'!$H$26/$C$37*$C79</f>
        <v>0</v>
      </c>
      <c r="E79" s="27">
        <f t="shared" si="20"/>
        <v>0</v>
      </c>
      <c r="F79" s="251">
        <f t="shared" si="17"/>
        <v>0</v>
      </c>
      <c r="G79" s="252">
        <f>$J$9*'Social Prescribing "100%"'!$H$27/$C$37*$C79</f>
        <v>0</v>
      </c>
      <c r="H79" s="27">
        <f t="shared" si="21"/>
        <v>0</v>
      </c>
      <c r="I79" s="251">
        <f t="shared" si="18"/>
        <v>0</v>
      </c>
      <c r="J79" s="252">
        <f>$J$10*'Social Prescribing "100%"'!$H$28/$C$37*$C79</f>
        <v>0</v>
      </c>
      <c r="K79" s="252">
        <f t="shared" si="22"/>
        <v>0</v>
      </c>
    </row>
    <row r="80" spans="2:11" ht="15.75" thickBot="1" x14ac:dyDescent="0.3">
      <c r="B80" s="133" t="str">
        <f t="shared" si="19"/>
        <v>Practice #8</v>
      </c>
      <c r="C80" s="254">
        <f t="shared" si="23"/>
        <v>0</v>
      </c>
      <c r="D80" s="255">
        <f>$J$8*'Social Prescribing "100%"'!$H$26/$C$37*$C80</f>
        <v>0</v>
      </c>
      <c r="E80" s="82">
        <f t="shared" si="20"/>
        <v>0</v>
      </c>
      <c r="F80" s="254">
        <f t="shared" si="17"/>
        <v>0</v>
      </c>
      <c r="G80" s="255">
        <f>$J$9*'Social Prescribing "100%"'!$H$27/$C$37*$C80</f>
        <v>0</v>
      </c>
      <c r="H80" s="82">
        <f t="shared" si="21"/>
        <v>0</v>
      </c>
      <c r="I80" s="254">
        <f t="shared" si="18"/>
        <v>0</v>
      </c>
      <c r="J80" s="255">
        <f>$J$10*'Social Prescribing "100%"'!$H$28/$C$37*$C80</f>
        <v>0</v>
      </c>
      <c r="K80" s="255">
        <f t="shared" si="22"/>
        <v>0</v>
      </c>
    </row>
    <row r="82" spans="2:2" x14ac:dyDescent="0.25">
      <c r="B82" t="s">
        <v>99</v>
      </c>
    </row>
    <row r="85" spans="2:2" x14ac:dyDescent="0.25">
      <c r="B85" t="s">
        <v>113</v>
      </c>
    </row>
    <row r="87" spans="2:2" x14ac:dyDescent="0.25">
      <c r="B87" t="s">
        <v>118</v>
      </c>
    </row>
    <row r="88" spans="2:2" x14ac:dyDescent="0.25">
      <c r="B88" t="s">
        <v>114</v>
      </c>
    </row>
    <row r="89" spans="2:2" x14ac:dyDescent="0.25">
      <c r="B89" t="s">
        <v>116</v>
      </c>
    </row>
    <row r="90" spans="2:2" x14ac:dyDescent="0.25">
      <c r="B90" t="s">
        <v>134</v>
      </c>
    </row>
    <row r="91" spans="2:2" x14ac:dyDescent="0.25">
      <c r="B91" t="s">
        <v>158</v>
      </c>
    </row>
    <row r="92" spans="2:2" x14ac:dyDescent="0.25">
      <c r="B92" t="s">
        <v>216</v>
      </c>
    </row>
  </sheetData>
  <customSheetViews>
    <customSheetView guid="{3A3D6D3D-C242-4ACD-A854-603FFD99C5F9}">
      <selection activeCell="F11" sqref="F11"/>
      <pageMargins left="0.7" right="0.7" top="0.75" bottom="0.75" header="0.3" footer="0.3"/>
      <pageSetup paperSize="9" orientation="portrait" r:id="rId1"/>
    </customSheetView>
  </customSheetViews>
  <mergeCells count="16">
    <mergeCell ref="D4:G4"/>
    <mergeCell ref="H4:H5"/>
    <mergeCell ref="I4:I5"/>
    <mergeCell ref="F12:H15"/>
    <mergeCell ref="E26:G27"/>
    <mergeCell ref="H26:J27"/>
    <mergeCell ref="D27:D28"/>
    <mergeCell ref="C70:E71"/>
    <mergeCell ref="F70:H71"/>
    <mergeCell ref="I70:K71"/>
    <mergeCell ref="C40:E41"/>
    <mergeCell ref="F40:H41"/>
    <mergeCell ref="I40:K41"/>
    <mergeCell ref="E56:G57"/>
    <mergeCell ref="H56:J57"/>
    <mergeCell ref="D57:D58"/>
  </mergeCells>
  <conditionalFormatting sqref="G29:G36">
    <cfRule type="cellIs" dxfId="198" priority="174" operator="lessThan">
      <formula>0</formula>
    </cfRule>
    <cfRule type="cellIs" dxfId="197" priority="175" operator="lessThan">
      <formula>0</formula>
    </cfRule>
    <cfRule type="cellIs" dxfId="196" priority="176" operator="greaterThan">
      <formula>0</formula>
    </cfRule>
    <cfRule type="cellIs" dxfId="195" priority="191" operator="greaterThan">
      <formula>$D$29</formula>
    </cfRule>
  </conditionalFormatting>
  <conditionalFormatting sqref="G30">
    <cfRule type="cellIs" dxfId="194" priority="183" operator="greaterThan">
      <formula>$D$30</formula>
    </cfRule>
    <cfRule type="cellIs" dxfId="193" priority="190" operator="greaterThan">
      <formula>$D$30</formula>
    </cfRule>
  </conditionalFormatting>
  <conditionalFormatting sqref="G31">
    <cfRule type="cellIs" dxfId="192" priority="182" operator="greaterThan">
      <formula>$D$31</formula>
    </cfRule>
    <cfRule type="cellIs" dxfId="191" priority="189" operator="greaterThan">
      <formula>$D$31</formula>
    </cfRule>
  </conditionalFormatting>
  <conditionalFormatting sqref="G32">
    <cfRule type="cellIs" dxfId="190" priority="181" operator="greaterThan">
      <formula>$D$32</formula>
    </cfRule>
    <cfRule type="cellIs" dxfId="189" priority="188" operator="greaterThan">
      <formula>$D$32</formula>
    </cfRule>
  </conditionalFormatting>
  <conditionalFormatting sqref="G33">
    <cfRule type="cellIs" dxfId="188" priority="180" operator="greaterThan">
      <formula>$D$33</formula>
    </cfRule>
    <cfRule type="cellIs" dxfId="187" priority="187" operator="greaterThan">
      <formula>$D$33</formula>
    </cfRule>
  </conditionalFormatting>
  <conditionalFormatting sqref="G34">
    <cfRule type="cellIs" dxfId="186" priority="179" operator="greaterThan">
      <formula>$D$34</formula>
    </cfRule>
    <cfRule type="cellIs" dxfId="185" priority="186" operator="greaterThan">
      <formula>$D$34</formula>
    </cfRule>
  </conditionalFormatting>
  <conditionalFormatting sqref="G35">
    <cfRule type="cellIs" dxfId="184" priority="178" operator="greaterThan">
      <formula>$D$35</formula>
    </cfRule>
    <cfRule type="cellIs" dxfId="183" priority="185" operator="greaterThan">
      <formula>$D$35</formula>
    </cfRule>
  </conditionalFormatting>
  <conditionalFormatting sqref="G36">
    <cfRule type="cellIs" dxfId="182" priority="177" operator="greaterThan">
      <formula>$D$36</formula>
    </cfRule>
    <cfRule type="cellIs" dxfId="181" priority="184" operator="greaterThan">
      <formula>$D$36</formula>
    </cfRule>
  </conditionalFormatting>
  <conditionalFormatting sqref="J29:J36">
    <cfRule type="cellIs" dxfId="180" priority="156" operator="lessThan">
      <formula>0</formula>
    </cfRule>
    <cfRule type="cellIs" dxfId="179" priority="157" operator="lessThan">
      <formula>0</formula>
    </cfRule>
    <cfRule type="cellIs" dxfId="178" priority="158" operator="greaterThan">
      <formula>0</formula>
    </cfRule>
    <cfRule type="cellIs" dxfId="177" priority="173" operator="greaterThan">
      <formula>$D$29</formula>
    </cfRule>
  </conditionalFormatting>
  <conditionalFormatting sqref="J30">
    <cfRule type="cellIs" dxfId="176" priority="165" operator="greaterThan">
      <formula>$D$30</formula>
    </cfRule>
    <cfRule type="cellIs" dxfId="175" priority="172" operator="greaterThan">
      <formula>$D$30</formula>
    </cfRule>
  </conditionalFormatting>
  <conditionalFormatting sqref="J31">
    <cfRule type="cellIs" dxfId="174" priority="164" operator="greaterThan">
      <formula>$D$31</formula>
    </cfRule>
    <cfRule type="cellIs" dxfId="173" priority="171" operator="greaterThan">
      <formula>$D$31</formula>
    </cfRule>
  </conditionalFormatting>
  <conditionalFormatting sqref="J32">
    <cfRule type="cellIs" dxfId="172" priority="163" operator="greaterThan">
      <formula>$D$32</formula>
    </cfRule>
    <cfRule type="cellIs" dxfId="171" priority="170" operator="greaterThan">
      <formula>$D$32</formula>
    </cfRule>
  </conditionalFormatting>
  <conditionalFormatting sqref="J33">
    <cfRule type="cellIs" dxfId="170" priority="162" operator="greaterThan">
      <formula>$D$33</formula>
    </cfRule>
    <cfRule type="cellIs" dxfId="169" priority="169" operator="greaterThan">
      <formula>$D$33</formula>
    </cfRule>
  </conditionalFormatting>
  <conditionalFormatting sqref="J34">
    <cfRule type="cellIs" dxfId="168" priority="161" operator="greaterThan">
      <formula>$D$34</formula>
    </cfRule>
    <cfRule type="cellIs" dxfId="167" priority="168" operator="greaterThan">
      <formula>$D$34</formula>
    </cfRule>
  </conditionalFormatting>
  <conditionalFormatting sqref="J35">
    <cfRule type="cellIs" dxfId="166" priority="160" operator="greaterThan">
      <formula>$D$35</formula>
    </cfRule>
    <cfRule type="cellIs" dxfId="165" priority="167" operator="greaterThan">
      <formula>$D$35</formula>
    </cfRule>
  </conditionalFormatting>
  <conditionalFormatting sqref="J36">
    <cfRule type="cellIs" dxfId="164" priority="159" operator="greaterThan">
      <formula>$D$36</formula>
    </cfRule>
    <cfRule type="cellIs" dxfId="163" priority="166" operator="greaterThan">
      <formula>$D$36</formula>
    </cfRule>
  </conditionalFormatting>
  <conditionalFormatting sqref="E43:E50">
    <cfRule type="cellIs" dxfId="162" priority="138" operator="lessThan">
      <formula>0</formula>
    </cfRule>
    <cfRule type="cellIs" dxfId="161" priority="139" operator="lessThan">
      <formula>0</formula>
    </cfRule>
    <cfRule type="cellIs" dxfId="160" priority="140" operator="greaterThan">
      <formula>0</formula>
    </cfRule>
    <cfRule type="cellIs" dxfId="159" priority="155" operator="greaterThan">
      <formula>$D$29</formula>
    </cfRule>
  </conditionalFormatting>
  <conditionalFormatting sqref="E44">
    <cfRule type="cellIs" dxfId="158" priority="147" operator="greaterThan">
      <formula>$D$30</formula>
    </cfRule>
    <cfRule type="cellIs" dxfId="157" priority="154" operator="greaterThan">
      <formula>$D$30</formula>
    </cfRule>
  </conditionalFormatting>
  <conditionalFormatting sqref="E45">
    <cfRule type="cellIs" dxfId="156" priority="146" operator="greaterThan">
      <formula>$D$31</formula>
    </cfRule>
    <cfRule type="cellIs" dxfId="155" priority="153" operator="greaterThan">
      <formula>$D$31</formula>
    </cfRule>
  </conditionalFormatting>
  <conditionalFormatting sqref="E46">
    <cfRule type="cellIs" dxfId="154" priority="145" operator="greaterThan">
      <formula>$D$32</formula>
    </cfRule>
    <cfRule type="cellIs" dxfId="153" priority="152" operator="greaterThan">
      <formula>$D$32</formula>
    </cfRule>
  </conditionalFormatting>
  <conditionalFormatting sqref="E47">
    <cfRule type="cellIs" dxfId="152" priority="144" operator="greaterThan">
      <formula>$D$33</formula>
    </cfRule>
    <cfRule type="cellIs" dxfId="151" priority="151" operator="greaterThan">
      <formula>$D$33</formula>
    </cfRule>
  </conditionalFormatting>
  <conditionalFormatting sqref="E48">
    <cfRule type="cellIs" dxfId="150" priority="143" operator="greaterThan">
      <formula>$D$34</formula>
    </cfRule>
    <cfRule type="cellIs" dxfId="149" priority="150" operator="greaterThan">
      <formula>$D$34</formula>
    </cfRule>
  </conditionalFormatting>
  <conditionalFormatting sqref="E49">
    <cfRule type="cellIs" dxfId="148" priority="142" operator="greaterThan">
      <formula>$D$35</formula>
    </cfRule>
    <cfRule type="cellIs" dxfId="147" priority="149" operator="greaterThan">
      <formula>$D$35</formula>
    </cfRule>
  </conditionalFormatting>
  <conditionalFormatting sqref="E50">
    <cfRule type="cellIs" dxfId="146" priority="141" operator="greaterThan">
      <formula>$D$36</formula>
    </cfRule>
    <cfRule type="cellIs" dxfId="145" priority="148" operator="greaterThan">
      <formula>$D$36</formula>
    </cfRule>
  </conditionalFormatting>
  <conditionalFormatting sqref="H43:H50">
    <cfRule type="cellIs" dxfId="144" priority="120" operator="lessThan">
      <formula>0</formula>
    </cfRule>
    <cfRule type="cellIs" dxfId="143" priority="121" operator="lessThan">
      <formula>0</formula>
    </cfRule>
    <cfRule type="cellIs" dxfId="142" priority="122" operator="greaterThan">
      <formula>0</formula>
    </cfRule>
    <cfRule type="cellIs" dxfId="141" priority="137" operator="greaterThan">
      <formula>$D$29</formula>
    </cfRule>
  </conditionalFormatting>
  <conditionalFormatting sqref="H44">
    <cfRule type="cellIs" dxfId="140" priority="129" operator="greaterThan">
      <formula>$D$30</formula>
    </cfRule>
    <cfRule type="cellIs" dxfId="139" priority="136" operator="greaterThan">
      <formula>$D$30</formula>
    </cfRule>
  </conditionalFormatting>
  <conditionalFormatting sqref="H45">
    <cfRule type="cellIs" dxfId="138" priority="128" operator="greaterThan">
      <formula>$D$31</formula>
    </cfRule>
    <cfRule type="cellIs" dxfId="137" priority="135" operator="greaterThan">
      <formula>$D$31</formula>
    </cfRule>
  </conditionalFormatting>
  <conditionalFormatting sqref="H46">
    <cfRule type="cellIs" dxfId="136" priority="127" operator="greaterThan">
      <formula>$D$32</formula>
    </cfRule>
    <cfRule type="cellIs" dxfId="135" priority="134" operator="greaterThan">
      <formula>$D$32</formula>
    </cfRule>
  </conditionalFormatting>
  <conditionalFormatting sqref="H47">
    <cfRule type="cellIs" dxfId="134" priority="126" operator="greaterThan">
      <formula>$D$33</formula>
    </cfRule>
    <cfRule type="cellIs" dxfId="133" priority="133" operator="greaterThan">
      <formula>$D$33</formula>
    </cfRule>
  </conditionalFormatting>
  <conditionalFormatting sqref="H48">
    <cfRule type="cellIs" dxfId="132" priority="125" operator="greaterThan">
      <formula>$D$34</formula>
    </cfRule>
    <cfRule type="cellIs" dxfId="131" priority="132" operator="greaterThan">
      <formula>$D$34</formula>
    </cfRule>
  </conditionalFormatting>
  <conditionalFormatting sqref="H49">
    <cfRule type="cellIs" dxfId="130" priority="124" operator="greaterThan">
      <formula>$D$35</formula>
    </cfRule>
    <cfRule type="cellIs" dxfId="129" priority="131" operator="greaterThan">
      <formula>$D$35</formula>
    </cfRule>
  </conditionalFormatting>
  <conditionalFormatting sqref="H50">
    <cfRule type="cellIs" dxfId="128" priority="123" operator="greaterThan">
      <formula>$D$36</formula>
    </cfRule>
    <cfRule type="cellIs" dxfId="127" priority="130" operator="greaterThan">
      <formula>$D$36</formula>
    </cfRule>
  </conditionalFormatting>
  <conditionalFormatting sqref="K43:K50">
    <cfRule type="cellIs" dxfId="126" priority="102" operator="lessThan">
      <formula>0</formula>
    </cfRule>
    <cfRule type="cellIs" dxfId="125" priority="103" operator="lessThan">
      <formula>0</formula>
    </cfRule>
    <cfRule type="cellIs" dxfId="124" priority="104" operator="greaterThan">
      <formula>0</formula>
    </cfRule>
    <cfRule type="cellIs" dxfId="123" priority="119" operator="greaterThan">
      <formula>$D$29</formula>
    </cfRule>
  </conditionalFormatting>
  <conditionalFormatting sqref="K44">
    <cfRule type="cellIs" dxfId="122" priority="111" operator="greaterThan">
      <formula>$D$30</formula>
    </cfRule>
    <cfRule type="cellIs" dxfId="121" priority="118" operator="greaterThan">
      <formula>$D$30</formula>
    </cfRule>
  </conditionalFormatting>
  <conditionalFormatting sqref="K45">
    <cfRule type="cellIs" dxfId="120" priority="110" operator="greaterThan">
      <formula>$D$31</formula>
    </cfRule>
    <cfRule type="cellIs" dxfId="119" priority="117" operator="greaterThan">
      <formula>$D$31</formula>
    </cfRule>
  </conditionalFormatting>
  <conditionalFormatting sqref="K46">
    <cfRule type="cellIs" dxfId="118" priority="109" operator="greaterThan">
      <formula>$D$32</formula>
    </cfRule>
    <cfRule type="cellIs" dxfId="117" priority="116" operator="greaterThan">
      <formula>$D$32</formula>
    </cfRule>
  </conditionalFormatting>
  <conditionalFormatting sqref="K47">
    <cfRule type="cellIs" dxfId="116" priority="108" operator="greaterThan">
      <formula>$D$33</formula>
    </cfRule>
    <cfRule type="cellIs" dxfId="115" priority="115" operator="greaterThan">
      <formula>$D$33</formula>
    </cfRule>
  </conditionalFormatting>
  <conditionalFormatting sqref="K48">
    <cfRule type="cellIs" dxfId="114" priority="107" operator="greaterThan">
      <formula>$D$34</formula>
    </cfRule>
    <cfRule type="cellIs" dxfId="113" priority="114" operator="greaterThan">
      <formula>$D$34</formula>
    </cfRule>
  </conditionalFormatting>
  <conditionalFormatting sqref="K49">
    <cfRule type="cellIs" dxfId="112" priority="106" operator="greaterThan">
      <formula>$D$35</formula>
    </cfRule>
    <cfRule type="cellIs" dxfId="111" priority="113" operator="greaterThan">
      <formula>$D$35</formula>
    </cfRule>
  </conditionalFormatting>
  <conditionalFormatting sqref="K50">
    <cfRule type="cellIs" dxfId="110" priority="105" operator="greaterThan">
      <formula>$D$36</formula>
    </cfRule>
    <cfRule type="cellIs" dxfId="109" priority="112" operator="greaterThan">
      <formula>$D$36</formula>
    </cfRule>
  </conditionalFormatting>
  <conditionalFormatting sqref="G43">
    <cfRule type="cellIs" dxfId="108" priority="101" operator="greaterThan">
      <formula>0</formula>
    </cfRule>
  </conditionalFormatting>
  <conditionalFormatting sqref="G44:G50">
    <cfRule type="cellIs" dxfId="107" priority="100" operator="greaterThan">
      <formula>0</formula>
    </cfRule>
  </conditionalFormatting>
  <conditionalFormatting sqref="K6:K10">
    <cfRule type="cellIs" dxfId="106" priority="96" operator="greaterThan">
      <formula>0</formula>
    </cfRule>
  </conditionalFormatting>
  <conditionalFormatting sqref="J43:J50">
    <cfRule type="cellIs" dxfId="105" priority="99" operator="greaterThan">
      <formula>0</formula>
    </cfRule>
  </conditionalFormatting>
  <conditionalFormatting sqref="D43:D50">
    <cfRule type="cellIs" dxfId="104" priority="98" operator="greaterThan">
      <formula>0</formula>
    </cfRule>
  </conditionalFormatting>
  <conditionalFormatting sqref="I29:I36">
    <cfRule type="cellIs" dxfId="103" priority="97" operator="greaterThan">
      <formula>0</formula>
    </cfRule>
  </conditionalFormatting>
  <conditionalFormatting sqref="G73">
    <cfRule type="cellIs" dxfId="102" priority="5" operator="greaterThan">
      <formula>0</formula>
    </cfRule>
  </conditionalFormatting>
  <conditionalFormatting sqref="G74:G80">
    <cfRule type="cellIs" dxfId="101" priority="4" operator="greaterThan">
      <formula>0</formula>
    </cfRule>
  </conditionalFormatting>
  <conditionalFormatting sqref="J73:J80">
    <cfRule type="cellIs" dxfId="100" priority="3" operator="greaterThan">
      <formula>0</formula>
    </cfRule>
  </conditionalFormatting>
  <conditionalFormatting sqref="G59:G66">
    <cfRule type="cellIs" dxfId="99" priority="78" operator="lessThan">
      <formula>0</formula>
    </cfRule>
    <cfRule type="cellIs" dxfId="98" priority="79" operator="lessThan">
      <formula>0</formula>
    </cfRule>
    <cfRule type="cellIs" dxfId="97" priority="80" operator="greaterThan">
      <formula>0</formula>
    </cfRule>
    <cfRule type="cellIs" dxfId="96" priority="95" operator="greaterThan">
      <formula>$D$29</formula>
    </cfRule>
  </conditionalFormatting>
  <conditionalFormatting sqref="G60">
    <cfRule type="cellIs" dxfId="95" priority="87" operator="greaterThan">
      <formula>$D$30</formula>
    </cfRule>
    <cfRule type="cellIs" dxfId="94" priority="94" operator="greaterThan">
      <formula>$D$30</formula>
    </cfRule>
  </conditionalFormatting>
  <conditionalFormatting sqref="G61">
    <cfRule type="cellIs" dxfId="93" priority="86" operator="greaterThan">
      <formula>$D$31</formula>
    </cfRule>
    <cfRule type="cellIs" dxfId="92" priority="93" operator="greaterThan">
      <formula>$D$31</formula>
    </cfRule>
  </conditionalFormatting>
  <conditionalFormatting sqref="G62">
    <cfRule type="cellIs" dxfId="91" priority="85" operator="greaterThan">
      <formula>$D$32</formula>
    </cfRule>
    <cfRule type="cellIs" dxfId="90" priority="92" operator="greaterThan">
      <formula>$D$32</formula>
    </cfRule>
  </conditionalFormatting>
  <conditionalFormatting sqref="G63">
    <cfRule type="cellIs" dxfId="89" priority="84" operator="greaterThan">
      <formula>$D$33</formula>
    </cfRule>
    <cfRule type="cellIs" dxfId="88" priority="91" operator="greaterThan">
      <formula>$D$33</formula>
    </cfRule>
  </conditionalFormatting>
  <conditionalFormatting sqref="G64">
    <cfRule type="cellIs" dxfId="87" priority="83" operator="greaterThan">
      <formula>$D$34</formula>
    </cfRule>
    <cfRule type="cellIs" dxfId="86" priority="90" operator="greaterThan">
      <formula>$D$34</formula>
    </cfRule>
  </conditionalFormatting>
  <conditionalFormatting sqref="G65">
    <cfRule type="cellIs" dxfId="85" priority="82" operator="greaterThan">
      <formula>$D$35</formula>
    </cfRule>
    <cfRule type="cellIs" dxfId="84" priority="89" operator="greaterThan">
      <formula>$D$35</formula>
    </cfRule>
  </conditionalFormatting>
  <conditionalFormatting sqref="G66">
    <cfRule type="cellIs" dxfId="83" priority="81" operator="greaterThan">
      <formula>$D$36</formula>
    </cfRule>
    <cfRule type="cellIs" dxfId="82" priority="88" operator="greaterThan">
      <formula>$D$36</formula>
    </cfRule>
  </conditionalFormatting>
  <conditionalFormatting sqref="J59:J66">
    <cfRule type="cellIs" dxfId="81" priority="60" operator="lessThan">
      <formula>0</formula>
    </cfRule>
    <cfRule type="cellIs" dxfId="80" priority="61" operator="lessThan">
      <formula>0</formula>
    </cfRule>
    <cfRule type="cellIs" dxfId="79" priority="62" operator="greaterThan">
      <formula>0</formula>
    </cfRule>
    <cfRule type="cellIs" dxfId="78" priority="77" operator="greaterThan">
      <formula>$D$29</formula>
    </cfRule>
  </conditionalFormatting>
  <conditionalFormatting sqref="J60">
    <cfRule type="cellIs" dxfId="77" priority="69" operator="greaterThan">
      <formula>$D$30</formula>
    </cfRule>
    <cfRule type="cellIs" dxfId="76" priority="76" operator="greaterThan">
      <formula>$D$30</formula>
    </cfRule>
  </conditionalFormatting>
  <conditionalFormatting sqref="J61">
    <cfRule type="cellIs" dxfId="75" priority="68" operator="greaterThan">
      <formula>$D$31</formula>
    </cfRule>
    <cfRule type="cellIs" dxfId="74" priority="75" operator="greaterThan">
      <formula>$D$31</formula>
    </cfRule>
  </conditionalFormatting>
  <conditionalFormatting sqref="J62">
    <cfRule type="cellIs" dxfId="73" priority="67" operator="greaterThan">
      <formula>$D$32</formula>
    </cfRule>
    <cfRule type="cellIs" dxfId="72" priority="74" operator="greaterThan">
      <formula>$D$32</formula>
    </cfRule>
  </conditionalFormatting>
  <conditionalFormatting sqref="J63">
    <cfRule type="cellIs" dxfId="71" priority="66" operator="greaterThan">
      <formula>$D$33</formula>
    </cfRule>
    <cfRule type="cellIs" dxfId="70" priority="73" operator="greaterThan">
      <formula>$D$33</formula>
    </cfRule>
  </conditionalFormatting>
  <conditionalFormatting sqref="J64">
    <cfRule type="cellIs" dxfId="69" priority="65" operator="greaterThan">
      <formula>$D$34</formula>
    </cfRule>
    <cfRule type="cellIs" dxfId="68" priority="72" operator="greaterThan">
      <formula>$D$34</formula>
    </cfRule>
  </conditionalFormatting>
  <conditionalFormatting sqref="J65">
    <cfRule type="cellIs" dxfId="67" priority="64" operator="greaterThan">
      <formula>$D$35</formula>
    </cfRule>
    <cfRule type="cellIs" dxfId="66" priority="71" operator="greaterThan">
      <formula>$D$35</formula>
    </cfRule>
  </conditionalFormatting>
  <conditionalFormatting sqref="J66">
    <cfRule type="cellIs" dxfId="65" priority="63" operator="greaterThan">
      <formula>$D$36</formula>
    </cfRule>
    <cfRule type="cellIs" dxfId="64" priority="70" operator="greaterThan">
      <formula>$D$36</formula>
    </cfRule>
  </conditionalFormatting>
  <conditionalFormatting sqref="E73:E80">
    <cfRule type="cellIs" dxfId="63" priority="42" operator="lessThan">
      <formula>0</formula>
    </cfRule>
    <cfRule type="cellIs" dxfId="62" priority="43" operator="lessThan">
      <formula>0</formula>
    </cfRule>
    <cfRule type="cellIs" dxfId="61" priority="44" operator="greaterThan">
      <formula>0</formula>
    </cfRule>
    <cfRule type="cellIs" dxfId="60" priority="59" operator="greaterThan">
      <formula>$D$29</formula>
    </cfRule>
  </conditionalFormatting>
  <conditionalFormatting sqref="E74">
    <cfRule type="cellIs" dxfId="59" priority="51" operator="greaterThan">
      <formula>$D$30</formula>
    </cfRule>
    <cfRule type="cellIs" dxfId="58" priority="58" operator="greaterThan">
      <formula>$D$30</formula>
    </cfRule>
  </conditionalFormatting>
  <conditionalFormatting sqref="E75">
    <cfRule type="cellIs" dxfId="57" priority="50" operator="greaterThan">
      <formula>$D$31</formula>
    </cfRule>
    <cfRule type="cellIs" dxfId="56" priority="57" operator="greaterThan">
      <formula>$D$31</formula>
    </cfRule>
  </conditionalFormatting>
  <conditionalFormatting sqref="E76">
    <cfRule type="cellIs" dxfId="55" priority="49" operator="greaterThan">
      <formula>$D$32</formula>
    </cfRule>
    <cfRule type="cellIs" dxfId="54" priority="56" operator="greaterThan">
      <formula>$D$32</formula>
    </cfRule>
  </conditionalFormatting>
  <conditionalFormatting sqref="E77">
    <cfRule type="cellIs" dxfId="53" priority="48" operator="greaterThan">
      <formula>$D$33</formula>
    </cfRule>
    <cfRule type="cellIs" dxfId="52" priority="55" operator="greaterThan">
      <formula>$D$33</formula>
    </cfRule>
  </conditionalFormatting>
  <conditionalFormatting sqref="E78">
    <cfRule type="cellIs" dxfId="51" priority="47" operator="greaterThan">
      <formula>$D$34</formula>
    </cfRule>
    <cfRule type="cellIs" dxfId="50" priority="54" operator="greaterThan">
      <formula>$D$34</formula>
    </cfRule>
  </conditionalFormatting>
  <conditionalFormatting sqref="E79">
    <cfRule type="cellIs" dxfId="49" priority="46" operator="greaterThan">
      <formula>$D$35</formula>
    </cfRule>
    <cfRule type="cellIs" dxfId="48" priority="53" operator="greaterThan">
      <formula>$D$35</formula>
    </cfRule>
  </conditionalFormatting>
  <conditionalFormatting sqref="E80">
    <cfRule type="cellIs" dxfId="47" priority="45" operator="greaterThan">
      <formula>$D$36</formula>
    </cfRule>
    <cfRule type="cellIs" dxfId="46" priority="52" operator="greaterThan">
      <formula>$D$36</formula>
    </cfRule>
  </conditionalFormatting>
  <conditionalFormatting sqref="H73:H80">
    <cfRule type="cellIs" dxfId="45" priority="24" operator="lessThan">
      <formula>0</formula>
    </cfRule>
    <cfRule type="cellIs" dxfId="44" priority="25" operator="lessThan">
      <formula>0</formula>
    </cfRule>
    <cfRule type="cellIs" dxfId="43" priority="26" operator="greaterThan">
      <formula>0</formula>
    </cfRule>
    <cfRule type="cellIs" dxfId="42" priority="41" operator="greaterThan">
      <formula>$D$29</formula>
    </cfRule>
  </conditionalFormatting>
  <conditionalFormatting sqref="H74">
    <cfRule type="cellIs" dxfId="41" priority="33" operator="greaterThan">
      <formula>$D$30</formula>
    </cfRule>
    <cfRule type="cellIs" dxfId="40" priority="40" operator="greaterThan">
      <formula>$D$30</formula>
    </cfRule>
  </conditionalFormatting>
  <conditionalFormatting sqref="H75">
    <cfRule type="cellIs" dxfId="39" priority="32" operator="greaterThan">
      <formula>$D$31</formula>
    </cfRule>
    <cfRule type="cellIs" dxfId="38" priority="39" operator="greaterThan">
      <formula>$D$31</formula>
    </cfRule>
  </conditionalFormatting>
  <conditionalFormatting sqref="H76">
    <cfRule type="cellIs" dxfId="37" priority="31" operator="greaterThan">
      <formula>$D$32</formula>
    </cfRule>
    <cfRule type="cellIs" dxfId="36" priority="38" operator="greaterThan">
      <formula>$D$32</formula>
    </cfRule>
  </conditionalFormatting>
  <conditionalFormatting sqref="H77">
    <cfRule type="cellIs" dxfId="35" priority="30" operator="greaterThan">
      <formula>$D$33</formula>
    </cfRule>
    <cfRule type="cellIs" dxfId="34" priority="37" operator="greaterThan">
      <formula>$D$33</formula>
    </cfRule>
  </conditionalFormatting>
  <conditionalFormatting sqref="H78">
    <cfRule type="cellIs" dxfId="33" priority="29" operator="greaterThan">
      <formula>$D$34</formula>
    </cfRule>
    <cfRule type="cellIs" dxfId="32" priority="36" operator="greaterThan">
      <formula>$D$34</formula>
    </cfRule>
  </conditionalFormatting>
  <conditionalFormatting sqref="H79">
    <cfRule type="cellIs" dxfId="31" priority="28" operator="greaterThan">
      <formula>$D$35</formula>
    </cfRule>
    <cfRule type="cellIs" dxfId="30" priority="35" operator="greaterThan">
      <formula>$D$35</formula>
    </cfRule>
  </conditionalFormatting>
  <conditionalFormatting sqref="H80">
    <cfRule type="cellIs" dxfId="29" priority="27" operator="greaterThan">
      <formula>$D$36</formula>
    </cfRule>
    <cfRule type="cellIs" dxfId="28" priority="34" operator="greaterThan">
      <formula>$D$36</formula>
    </cfRule>
  </conditionalFormatting>
  <conditionalFormatting sqref="K73:K80">
    <cfRule type="cellIs" dxfId="27" priority="6" operator="lessThan">
      <formula>0</formula>
    </cfRule>
    <cfRule type="cellIs" dxfId="26" priority="7" operator="lessThan">
      <formula>0</formula>
    </cfRule>
    <cfRule type="cellIs" dxfId="25" priority="8" operator="greaterThan">
      <formula>0</formula>
    </cfRule>
    <cfRule type="cellIs" dxfId="24" priority="23" operator="greaterThan">
      <formula>$D$29</formula>
    </cfRule>
  </conditionalFormatting>
  <conditionalFormatting sqref="K74">
    <cfRule type="cellIs" dxfId="23" priority="15" operator="greaterThan">
      <formula>$D$30</formula>
    </cfRule>
    <cfRule type="cellIs" dxfId="22" priority="22" operator="greaterThan">
      <formula>$D$30</formula>
    </cfRule>
  </conditionalFormatting>
  <conditionalFormatting sqref="K75">
    <cfRule type="cellIs" dxfId="21" priority="14" operator="greaterThan">
      <formula>$D$31</formula>
    </cfRule>
    <cfRule type="cellIs" dxfId="20" priority="21" operator="greaterThan">
      <formula>$D$31</formula>
    </cfRule>
  </conditionalFormatting>
  <conditionalFormatting sqref="K76">
    <cfRule type="cellIs" dxfId="19" priority="13" operator="greaterThan">
      <formula>$D$32</formula>
    </cfRule>
    <cfRule type="cellIs" dxfId="18" priority="20" operator="greaterThan">
      <formula>$D$32</formula>
    </cfRule>
  </conditionalFormatting>
  <conditionalFormatting sqref="K77">
    <cfRule type="cellIs" dxfId="17" priority="12" operator="greaterThan">
      <formula>$D$33</formula>
    </cfRule>
    <cfRule type="cellIs" dxfId="16" priority="19" operator="greaterThan">
      <formula>$D$33</formula>
    </cfRule>
  </conditionalFormatting>
  <conditionalFormatting sqref="K78">
    <cfRule type="cellIs" dxfId="15" priority="11" operator="greaterThan">
      <formula>$D$34</formula>
    </cfRule>
    <cfRule type="cellIs" dxfId="14" priority="18" operator="greaterThan">
      <formula>$D$34</formula>
    </cfRule>
  </conditionalFormatting>
  <conditionalFormatting sqref="K79">
    <cfRule type="cellIs" dxfId="13" priority="10" operator="greaterThan">
      <formula>$D$35</formula>
    </cfRule>
    <cfRule type="cellIs" dxfId="12" priority="17" operator="greaterThan">
      <formula>$D$35</formula>
    </cfRule>
  </conditionalFormatting>
  <conditionalFormatting sqref="K80">
    <cfRule type="cellIs" dxfId="11" priority="9" operator="greaterThan">
      <formula>$D$36</formula>
    </cfRule>
    <cfRule type="cellIs" dxfId="10" priority="16" operator="greaterThan">
      <formula>$D$36</formula>
    </cfRule>
  </conditionalFormatting>
  <conditionalFormatting sqref="D73:D80">
    <cfRule type="cellIs" dxfId="9" priority="2" operator="greaterThan">
      <formula>0</formula>
    </cfRule>
  </conditionalFormatting>
  <conditionalFormatting sqref="I59:I66">
    <cfRule type="cellIs" dxfId="8" priority="1" operator="greaterThan">
      <formula>0</formula>
    </cfRule>
  </conditionalFormatting>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1211"/>
  <sheetViews>
    <sheetView workbookViewId="0">
      <pane xSplit="2" ySplit="3" topLeftCell="C25" activePane="bottomRight" state="frozen"/>
      <selection pane="topRight" activeCell="C1" sqref="C1"/>
      <selection pane="bottomLeft" activeCell="A4" sqref="A4"/>
      <selection pane="bottomRight" activeCell="I34" sqref="I34"/>
    </sheetView>
  </sheetViews>
  <sheetFormatPr defaultRowHeight="15" x14ac:dyDescent="0.25"/>
  <cols>
    <col min="1" max="1" width="9.140625" style="1"/>
    <col min="3" max="3" width="10.28515625" customWidth="1"/>
    <col min="4" max="4" width="11.5703125" style="2" bestFit="1" customWidth="1"/>
    <col min="5" max="5" width="11" style="3" bestFit="1" customWidth="1"/>
    <col min="6" max="6" width="12" style="4" customWidth="1"/>
    <col min="7" max="7" width="11.5703125" style="4" bestFit="1" customWidth="1"/>
    <col min="8" max="8" width="12.140625" customWidth="1"/>
    <col min="9" max="9" width="12.28515625" customWidth="1"/>
    <col min="10" max="10" width="15.85546875" style="14" customWidth="1"/>
    <col min="11" max="11" width="11.5703125" bestFit="1" customWidth="1"/>
    <col min="13" max="13" width="33.140625" customWidth="1"/>
  </cols>
  <sheetData>
    <row r="1" spans="1:130" ht="55.5" customHeight="1" thickBot="1" x14ac:dyDescent="0.3">
      <c r="A1" s="46" t="s">
        <v>184</v>
      </c>
      <c r="E1" s="40"/>
    </row>
    <row r="2" spans="1:130" ht="49.5" customHeight="1" x14ac:dyDescent="0.25">
      <c r="C2" s="154" t="s">
        <v>12</v>
      </c>
      <c r="D2" s="154" t="s">
        <v>0</v>
      </c>
      <c r="E2" s="154" t="s">
        <v>1</v>
      </c>
      <c r="F2" s="154" t="s">
        <v>2</v>
      </c>
      <c r="G2" s="154" t="s">
        <v>3</v>
      </c>
      <c r="H2" s="155" t="s">
        <v>10</v>
      </c>
      <c r="I2" s="156" t="s">
        <v>15</v>
      </c>
      <c r="J2" s="156" t="s">
        <v>164</v>
      </c>
      <c r="K2" s="156" t="s">
        <v>14</v>
      </c>
      <c r="L2" s="156" t="s">
        <v>14</v>
      </c>
    </row>
    <row r="3" spans="1:130" ht="47.25" x14ac:dyDescent="0.25">
      <c r="C3" s="157" t="s">
        <v>13</v>
      </c>
      <c r="D3" s="157"/>
      <c r="E3" s="157" t="s">
        <v>4</v>
      </c>
      <c r="F3" s="157"/>
      <c r="G3" s="157"/>
      <c r="H3" s="158" t="s">
        <v>11</v>
      </c>
      <c r="I3" s="156" t="s">
        <v>11</v>
      </c>
      <c r="J3" s="156" t="s">
        <v>58</v>
      </c>
      <c r="K3" s="156" t="s">
        <v>16</v>
      </c>
      <c r="L3" s="156" t="s">
        <v>17</v>
      </c>
    </row>
    <row r="4" spans="1:130" ht="15.75" x14ac:dyDescent="0.25">
      <c r="C4" s="159"/>
      <c r="D4" s="159"/>
      <c r="E4" s="159"/>
      <c r="F4" s="159"/>
      <c r="G4" s="159"/>
      <c r="H4" s="160"/>
      <c r="I4" s="161"/>
      <c r="J4" s="162"/>
      <c r="K4" s="161"/>
      <c r="L4" s="161"/>
      <c r="M4" s="10"/>
      <c r="N4" s="10"/>
      <c r="O4" s="10"/>
    </row>
    <row r="5" spans="1:130" x14ac:dyDescent="0.25">
      <c r="A5" s="42" t="s">
        <v>60</v>
      </c>
      <c r="B5" s="19" t="s">
        <v>56</v>
      </c>
      <c r="C5" s="163">
        <v>9</v>
      </c>
      <c r="D5" s="264">
        <v>24214</v>
      </c>
      <c r="E5" s="265">
        <f t="shared" ref="E5:E12" si="0">D5*0.106293426</f>
        <v>2573.7890171639997</v>
      </c>
      <c r="F5" s="265">
        <f t="shared" ref="F5:F12" si="1">14.38%*D5</f>
        <v>3481.9732000000004</v>
      </c>
      <c r="G5" s="265">
        <f>SUM(D5:F5)</f>
        <v>30269.762217164</v>
      </c>
      <c r="H5" s="266">
        <f t="shared" ref="H5:H12" si="2">30%*G5</f>
        <v>9080.9286651492002</v>
      </c>
      <c r="I5" s="266">
        <f t="shared" ref="I5:I12" si="3">70%*G5</f>
        <v>21188.833552014799</v>
      </c>
      <c r="J5" s="267">
        <f>I5</f>
        <v>21188.833552014799</v>
      </c>
      <c r="K5" s="268">
        <f t="shared" ref="K5:K12" si="4">G5-J5</f>
        <v>9080.9286651492002</v>
      </c>
      <c r="L5" s="164">
        <f t="shared" ref="L5:L11" si="5">K5/G5</f>
        <v>0.3</v>
      </c>
      <c r="M5" s="10"/>
      <c r="N5" s="10"/>
      <c r="O5" s="10"/>
    </row>
    <row r="6" spans="1:130" x14ac:dyDescent="0.25">
      <c r="A6" s="42" t="s">
        <v>60</v>
      </c>
      <c r="B6" s="20"/>
      <c r="C6" s="163">
        <v>10</v>
      </c>
      <c r="D6" s="264">
        <v>24214</v>
      </c>
      <c r="E6" s="265">
        <f t="shared" si="0"/>
        <v>2573.7890171639997</v>
      </c>
      <c r="F6" s="265">
        <f t="shared" si="1"/>
        <v>3481.9732000000004</v>
      </c>
      <c r="G6" s="265">
        <f t="shared" ref="G6:G12" si="6">SUM(D6:F6)</f>
        <v>30269.762217164</v>
      </c>
      <c r="H6" s="266">
        <f t="shared" si="2"/>
        <v>9080.9286651492002</v>
      </c>
      <c r="I6" s="266">
        <f t="shared" si="3"/>
        <v>21188.833552014799</v>
      </c>
      <c r="J6" s="267">
        <f t="shared" ref="J6:J11" si="7">I6</f>
        <v>21188.833552014799</v>
      </c>
      <c r="K6" s="268">
        <f t="shared" si="4"/>
        <v>9080.9286651492002</v>
      </c>
      <c r="L6" s="164">
        <f t="shared" si="5"/>
        <v>0.3</v>
      </c>
      <c r="M6" s="10"/>
      <c r="N6" s="10"/>
      <c r="O6" s="10"/>
    </row>
    <row r="7" spans="1:130" x14ac:dyDescent="0.25">
      <c r="A7" s="42" t="s">
        <v>60</v>
      </c>
      <c r="B7" s="20"/>
      <c r="C7" s="163">
        <v>11</v>
      </c>
      <c r="D7" s="264">
        <v>24214</v>
      </c>
      <c r="E7" s="265">
        <f t="shared" si="0"/>
        <v>2573.7890171639997</v>
      </c>
      <c r="F7" s="265">
        <f t="shared" si="1"/>
        <v>3481.9732000000004</v>
      </c>
      <c r="G7" s="265">
        <f t="shared" si="6"/>
        <v>30269.762217164</v>
      </c>
      <c r="H7" s="266">
        <f t="shared" si="2"/>
        <v>9080.9286651492002</v>
      </c>
      <c r="I7" s="266">
        <f t="shared" si="3"/>
        <v>21188.833552014799</v>
      </c>
      <c r="J7" s="267">
        <f t="shared" si="7"/>
        <v>21188.833552014799</v>
      </c>
      <c r="K7" s="268">
        <f t="shared" si="4"/>
        <v>9080.9286651492002</v>
      </c>
      <c r="L7" s="164">
        <f t="shared" si="5"/>
        <v>0.3</v>
      </c>
      <c r="M7" s="10"/>
      <c r="N7" s="10"/>
      <c r="O7" s="10"/>
    </row>
    <row r="8" spans="1:130" x14ac:dyDescent="0.25">
      <c r="A8" s="42" t="s">
        <v>60</v>
      </c>
      <c r="B8" s="20"/>
      <c r="C8" s="163">
        <v>12</v>
      </c>
      <c r="D8" s="264">
        <v>26220</v>
      </c>
      <c r="E8" s="265">
        <f t="shared" si="0"/>
        <v>2787.0136297199997</v>
      </c>
      <c r="F8" s="265">
        <f t="shared" si="1"/>
        <v>3770.4360000000001</v>
      </c>
      <c r="G8" s="265">
        <f t="shared" si="6"/>
        <v>32777.449629720002</v>
      </c>
      <c r="H8" s="266">
        <f t="shared" si="2"/>
        <v>9833.2348889160003</v>
      </c>
      <c r="I8" s="266">
        <f t="shared" si="3"/>
        <v>22944.214740804</v>
      </c>
      <c r="J8" s="267">
        <f t="shared" si="7"/>
        <v>22944.214740804</v>
      </c>
      <c r="K8" s="268">
        <f t="shared" si="4"/>
        <v>9833.2348889160021</v>
      </c>
      <c r="L8" s="164">
        <f t="shared" si="5"/>
        <v>0.30000000000000004</v>
      </c>
      <c r="M8" s="10"/>
      <c r="N8" s="10"/>
      <c r="O8" s="10"/>
    </row>
    <row r="9" spans="1:130" x14ac:dyDescent="0.25">
      <c r="A9" s="166" t="s">
        <v>60</v>
      </c>
      <c r="B9" s="167" t="s">
        <v>7</v>
      </c>
      <c r="C9" s="168">
        <v>13</v>
      </c>
      <c r="D9" s="269">
        <v>26220</v>
      </c>
      <c r="E9" s="270">
        <f t="shared" si="0"/>
        <v>2787.0136297199997</v>
      </c>
      <c r="F9" s="270">
        <f t="shared" si="1"/>
        <v>3770.4360000000001</v>
      </c>
      <c r="G9" s="270">
        <f t="shared" si="6"/>
        <v>32777.449629720002</v>
      </c>
      <c r="H9" s="271">
        <f t="shared" si="2"/>
        <v>9833.2348889160003</v>
      </c>
      <c r="I9" s="271">
        <f t="shared" si="3"/>
        <v>22944.214740804</v>
      </c>
      <c r="J9" s="272">
        <f t="shared" si="7"/>
        <v>22944.214740804</v>
      </c>
      <c r="K9" s="273">
        <f t="shared" si="4"/>
        <v>9833.2348889160021</v>
      </c>
      <c r="L9" s="169">
        <f t="shared" si="5"/>
        <v>0.30000000000000004</v>
      </c>
      <c r="M9" s="10" t="s">
        <v>165</v>
      </c>
      <c r="N9" s="10"/>
      <c r="O9" s="10"/>
    </row>
    <row r="10" spans="1:130" x14ac:dyDescent="0.25">
      <c r="A10" s="42" t="s">
        <v>60</v>
      </c>
      <c r="B10" s="20"/>
      <c r="C10" s="163">
        <v>14</v>
      </c>
      <c r="D10" s="264">
        <v>27260</v>
      </c>
      <c r="E10" s="265">
        <f t="shared" si="0"/>
        <v>2897.55879276</v>
      </c>
      <c r="F10" s="265">
        <f t="shared" si="1"/>
        <v>3919.9880000000003</v>
      </c>
      <c r="G10" s="265">
        <f t="shared" si="6"/>
        <v>34077.546792759997</v>
      </c>
      <c r="H10" s="266">
        <f t="shared" si="2"/>
        <v>10223.264037827999</v>
      </c>
      <c r="I10" s="266">
        <f t="shared" si="3"/>
        <v>23854.282754931995</v>
      </c>
      <c r="J10" s="267">
        <f t="shared" si="7"/>
        <v>23854.282754931995</v>
      </c>
      <c r="K10" s="268">
        <f t="shared" si="4"/>
        <v>10223.264037828001</v>
      </c>
      <c r="L10" s="164">
        <f t="shared" si="5"/>
        <v>0.30000000000000004</v>
      </c>
      <c r="M10" s="10"/>
      <c r="N10" s="10"/>
      <c r="O10" s="10"/>
    </row>
    <row r="11" spans="1:130" x14ac:dyDescent="0.25">
      <c r="A11" s="42" t="s">
        <v>60</v>
      </c>
      <c r="B11" s="20"/>
      <c r="C11" s="163">
        <v>15</v>
      </c>
      <c r="D11" s="264">
        <v>28358</v>
      </c>
      <c r="E11" s="265">
        <f t="shared" si="0"/>
        <v>3014.2689745079997</v>
      </c>
      <c r="F11" s="265">
        <f t="shared" si="1"/>
        <v>4077.8804000000005</v>
      </c>
      <c r="G11" s="265">
        <f t="shared" si="6"/>
        <v>35450.149374508001</v>
      </c>
      <c r="H11" s="266">
        <f t="shared" si="2"/>
        <v>10635.0448123524</v>
      </c>
      <c r="I11" s="266">
        <f t="shared" si="3"/>
        <v>24815.1045621556</v>
      </c>
      <c r="J11" s="267">
        <f t="shared" si="7"/>
        <v>24815.1045621556</v>
      </c>
      <c r="K11" s="268">
        <f t="shared" si="4"/>
        <v>10635.0448123524</v>
      </c>
      <c r="L11" s="164">
        <f t="shared" si="5"/>
        <v>0.3</v>
      </c>
      <c r="M11" s="10"/>
      <c r="N11" s="10"/>
      <c r="O11" s="10"/>
    </row>
    <row r="12" spans="1:130" x14ac:dyDescent="0.25">
      <c r="A12" s="42" t="s">
        <v>60</v>
      </c>
      <c r="B12" s="19" t="s">
        <v>57</v>
      </c>
      <c r="C12" s="163">
        <v>16</v>
      </c>
      <c r="D12" s="264">
        <v>30112</v>
      </c>
      <c r="E12" s="265">
        <f t="shared" si="0"/>
        <v>3200.7076437119999</v>
      </c>
      <c r="F12" s="265">
        <f t="shared" si="1"/>
        <v>4330.1056000000008</v>
      </c>
      <c r="G12" s="265">
        <f t="shared" si="6"/>
        <v>37642.813243712</v>
      </c>
      <c r="H12" s="266">
        <f t="shared" si="2"/>
        <v>11292.8439731136</v>
      </c>
      <c r="I12" s="266">
        <f t="shared" si="3"/>
        <v>26349.969270598398</v>
      </c>
      <c r="J12" s="267">
        <v>26220</v>
      </c>
      <c r="K12" s="268">
        <f t="shared" si="4"/>
        <v>11422.813243712</v>
      </c>
      <c r="L12" s="164">
        <f>K12/G12</f>
        <v>0.30345269812213388</v>
      </c>
      <c r="M12" s="10"/>
      <c r="N12" s="10"/>
      <c r="O12" s="10"/>
    </row>
    <row r="13" spans="1:130" x14ac:dyDescent="0.25">
      <c r="A13" s="42" t="s">
        <v>55</v>
      </c>
      <c r="B13" s="19" t="s">
        <v>56</v>
      </c>
      <c r="C13" s="165">
        <v>17</v>
      </c>
      <c r="D13" s="264">
        <v>30401</v>
      </c>
      <c r="E13" s="265">
        <f>D13*0.106293426</f>
        <v>3231.4264438259997</v>
      </c>
      <c r="F13" s="265">
        <f>14.38%*D13</f>
        <v>4371.6638000000003</v>
      </c>
      <c r="G13" s="265">
        <f>SUM(D13:F13)</f>
        <v>38004.090243826002</v>
      </c>
      <c r="H13" s="266">
        <f>30%*G13</f>
        <v>11401.2270731478</v>
      </c>
      <c r="I13" s="266">
        <f>70%*G13</f>
        <v>26602.8631706782</v>
      </c>
      <c r="J13" s="274">
        <f>G13*70%</f>
        <v>26602.8631706782</v>
      </c>
      <c r="K13" s="268">
        <f>G13-J13</f>
        <v>11401.227073147802</v>
      </c>
      <c r="L13" s="164">
        <f t="shared" ref="L13:L36" si="8">K13/G13</f>
        <v>0.30000000000000004</v>
      </c>
      <c r="M13" s="10"/>
      <c r="N13" s="10"/>
      <c r="O13" s="10"/>
    </row>
    <row r="14" spans="1:130" x14ac:dyDescent="0.25">
      <c r="A14" s="42" t="s">
        <v>55</v>
      </c>
      <c r="B14" s="19"/>
      <c r="C14" s="165">
        <v>18</v>
      </c>
      <c r="D14" s="264">
        <v>30401</v>
      </c>
      <c r="E14" s="265">
        <f t="shared" ref="E14:E21" si="9">D14*0.106293426</f>
        <v>3231.4264438259997</v>
      </c>
      <c r="F14" s="265">
        <f t="shared" ref="F14:F21" si="10">14.38%*D14</f>
        <v>4371.6638000000003</v>
      </c>
      <c r="G14" s="265">
        <f t="shared" ref="G14:G21" si="11">SUM(D14:F14)</f>
        <v>38004.090243826002</v>
      </c>
      <c r="H14" s="266">
        <f t="shared" ref="H14:H21" si="12">30%*G14</f>
        <v>11401.2270731478</v>
      </c>
      <c r="I14" s="266">
        <f t="shared" ref="I14:I21" si="13">70%*G14</f>
        <v>26602.8631706782</v>
      </c>
      <c r="J14" s="274">
        <f t="shared" ref="J14:J20" si="14">G14*70%</f>
        <v>26602.8631706782</v>
      </c>
      <c r="K14" s="268">
        <f t="shared" ref="K14:K21" si="15">G14-J14</f>
        <v>11401.227073147802</v>
      </c>
      <c r="L14" s="164">
        <f t="shared" si="8"/>
        <v>0.30000000000000004</v>
      </c>
      <c r="M14" s="41"/>
      <c r="N14" s="10"/>
      <c r="O14" s="10"/>
    </row>
    <row r="15" spans="1:130" x14ac:dyDescent="0.25">
      <c r="A15" s="42" t="s">
        <v>55</v>
      </c>
      <c r="B15" s="19"/>
      <c r="C15" s="165">
        <v>19</v>
      </c>
      <c r="D15" s="264">
        <v>30401</v>
      </c>
      <c r="E15" s="265">
        <f t="shared" si="9"/>
        <v>3231.4264438259997</v>
      </c>
      <c r="F15" s="265">
        <f t="shared" si="10"/>
        <v>4371.6638000000003</v>
      </c>
      <c r="G15" s="265">
        <f t="shared" si="11"/>
        <v>38004.090243826002</v>
      </c>
      <c r="H15" s="266">
        <f t="shared" si="12"/>
        <v>11401.2270731478</v>
      </c>
      <c r="I15" s="266">
        <f t="shared" si="13"/>
        <v>26602.8631706782</v>
      </c>
      <c r="J15" s="274">
        <f t="shared" si="14"/>
        <v>26602.8631706782</v>
      </c>
      <c r="K15" s="268">
        <f t="shared" si="15"/>
        <v>11401.227073147802</v>
      </c>
      <c r="L15" s="164">
        <f t="shared" si="8"/>
        <v>0.30000000000000004</v>
      </c>
      <c r="M15" s="41"/>
      <c r="N15" s="41"/>
      <c r="O15" s="41"/>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row>
    <row r="16" spans="1:130" x14ac:dyDescent="0.25">
      <c r="A16" s="42" t="s">
        <v>55</v>
      </c>
      <c r="B16" s="19"/>
      <c r="C16" s="165">
        <v>20</v>
      </c>
      <c r="D16" s="264">
        <v>32525</v>
      </c>
      <c r="E16" s="265">
        <f t="shared" si="9"/>
        <v>3457.1936806499998</v>
      </c>
      <c r="F16" s="265">
        <f t="shared" si="10"/>
        <v>4677.0950000000003</v>
      </c>
      <c r="G16" s="265">
        <f t="shared" si="11"/>
        <v>40659.288680650003</v>
      </c>
      <c r="H16" s="266">
        <f t="shared" si="12"/>
        <v>12197.786604195</v>
      </c>
      <c r="I16" s="266">
        <f t="shared" si="13"/>
        <v>28461.502076454999</v>
      </c>
      <c r="J16" s="274">
        <f t="shared" si="14"/>
        <v>28461.502076454999</v>
      </c>
      <c r="K16" s="268">
        <f t="shared" si="15"/>
        <v>12197.786604195004</v>
      </c>
      <c r="L16" s="164">
        <f t="shared" si="8"/>
        <v>0.30000000000000004</v>
      </c>
      <c r="M16" s="41"/>
      <c r="N16" s="41"/>
      <c r="O16" s="41"/>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row>
    <row r="17" spans="1:130" s="43" customFormat="1" x14ac:dyDescent="0.25">
      <c r="A17" s="166" t="s">
        <v>55</v>
      </c>
      <c r="B17" s="167" t="s">
        <v>7</v>
      </c>
      <c r="C17" s="170">
        <v>21</v>
      </c>
      <c r="D17" s="269">
        <v>32525</v>
      </c>
      <c r="E17" s="270">
        <f t="shared" si="9"/>
        <v>3457.1936806499998</v>
      </c>
      <c r="F17" s="270">
        <f t="shared" si="10"/>
        <v>4677.0950000000003</v>
      </c>
      <c r="G17" s="270">
        <f t="shared" si="11"/>
        <v>40659.288680650003</v>
      </c>
      <c r="H17" s="271">
        <f t="shared" si="12"/>
        <v>12197.786604195</v>
      </c>
      <c r="I17" s="271">
        <f t="shared" si="13"/>
        <v>28461.502076454999</v>
      </c>
      <c r="J17" s="272">
        <f t="shared" si="14"/>
        <v>28461.502076454999</v>
      </c>
      <c r="K17" s="273">
        <f t="shared" si="15"/>
        <v>12197.786604195004</v>
      </c>
      <c r="L17" s="169">
        <f t="shared" si="8"/>
        <v>0.30000000000000004</v>
      </c>
      <c r="M17" s="41" t="s">
        <v>163</v>
      </c>
      <c r="N17" s="41"/>
      <c r="O17" s="41"/>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row>
    <row r="18" spans="1:130" x14ac:dyDescent="0.25">
      <c r="A18" s="42" t="s">
        <v>55</v>
      </c>
      <c r="B18" s="19"/>
      <c r="C18" s="165">
        <v>22</v>
      </c>
      <c r="D18" s="264">
        <v>32525</v>
      </c>
      <c r="E18" s="265">
        <f t="shared" si="9"/>
        <v>3457.1936806499998</v>
      </c>
      <c r="F18" s="265">
        <f t="shared" si="10"/>
        <v>4677.0950000000003</v>
      </c>
      <c r="G18" s="265">
        <f t="shared" si="11"/>
        <v>40659.288680650003</v>
      </c>
      <c r="H18" s="266">
        <f t="shared" si="12"/>
        <v>12197.786604195</v>
      </c>
      <c r="I18" s="266">
        <f t="shared" si="13"/>
        <v>28461.502076454999</v>
      </c>
      <c r="J18" s="274">
        <f t="shared" si="14"/>
        <v>28461.502076454999</v>
      </c>
      <c r="K18" s="268">
        <f t="shared" si="15"/>
        <v>12197.786604195004</v>
      </c>
      <c r="L18" s="164">
        <f t="shared" si="8"/>
        <v>0.30000000000000004</v>
      </c>
      <c r="M18" s="41"/>
      <c r="N18" s="41"/>
      <c r="O18" s="41"/>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row>
    <row r="19" spans="1:130" x14ac:dyDescent="0.25">
      <c r="A19" s="42" t="s">
        <v>55</v>
      </c>
      <c r="B19" s="19"/>
      <c r="C19" s="165">
        <v>23</v>
      </c>
      <c r="D19" s="264">
        <v>33587</v>
      </c>
      <c r="E19" s="265">
        <f t="shared" si="9"/>
        <v>3570.0772990619998</v>
      </c>
      <c r="F19" s="265">
        <f t="shared" si="10"/>
        <v>4829.8106000000007</v>
      </c>
      <c r="G19" s="265">
        <f t="shared" si="11"/>
        <v>41986.887899062</v>
      </c>
      <c r="H19" s="266">
        <f t="shared" si="12"/>
        <v>12596.066369718599</v>
      </c>
      <c r="I19" s="266">
        <f t="shared" si="13"/>
        <v>29390.821529343397</v>
      </c>
      <c r="J19" s="274">
        <f t="shared" si="14"/>
        <v>29390.821529343397</v>
      </c>
      <c r="K19" s="268">
        <f t="shared" si="15"/>
        <v>12596.066369718603</v>
      </c>
      <c r="L19" s="164">
        <f t="shared" si="8"/>
        <v>0.30000000000000004</v>
      </c>
      <c r="M19" s="41"/>
      <c r="N19" s="41"/>
      <c r="O19" s="41"/>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row>
    <row r="20" spans="1:130" x14ac:dyDescent="0.25">
      <c r="A20" s="42" t="s">
        <v>55</v>
      </c>
      <c r="B20" s="19"/>
      <c r="C20" s="165">
        <v>24</v>
      </c>
      <c r="D20" s="264">
        <v>34782</v>
      </c>
      <c r="E20" s="265">
        <f t="shared" si="9"/>
        <v>3697.0979431319997</v>
      </c>
      <c r="F20" s="265">
        <f t="shared" si="10"/>
        <v>5001.6516000000001</v>
      </c>
      <c r="G20" s="265">
        <f t="shared" si="11"/>
        <v>43480.749543131999</v>
      </c>
      <c r="H20" s="266">
        <f t="shared" si="12"/>
        <v>13044.2248629396</v>
      </c>
      <c r="I20" s="266">
        <f t="shared" si="13"/>
        <v>30436.524680192397</v>
      </c>
      <c r="J20" s="274">
        <f t="shared" si="14"/>
        <v>30436.524680192397</v>
      </c>
      <c r="K20" s="268">
        <f t="shared" si="15"/>
        <v>13044.224862939602</v>
      </c>
      <c r="L20" s="164">
        <f t="shared" si="8"/>
        <v>0.30000000000000004</v>
      </c>
      <c r="M20" s="41"/>
      <c r="N20" s="41"/>
      <c r="O20" s="41"/>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row>
    <row r="21" spans="1:130" x14ac:dyDescent="0.25">
      <c r="A21" s="42" t="s">
        <v>55</v>
      </c>
      <c r="B21" s="19" t="s">
        <v>57</v>
      </c>
      <c r="C21" s="165">
        <v>25</v>
      </c>
      <c r="D21" s="264">
        <v>37267</v>
      </c>
      <c r="E21" s="265">
        <f t="shared" si="9"/>
        <v>3961.2371067419999</v>
      </c>
      <c r="F21" s="265">
        <f t="shared" si="10"/>
        <v>5358.9946</v>
      </c>
      <c r="G21" s="265">
        <f t="shared" si="11"/>
        <v>46587.231706742001</v>
      </c>
      <c r="H21" s="266">
        <f t="shared" si="12"/>
        <v>13976.1695120226</v>
      </c>
      <c r="I21" s="266">
        <f t="shared" si="13"/>
        <v>32611.062194719398</v>
      </c>
      <c r="J21" s="274">
        <v>32525</v>
      </c>
      <c r="K21" s="268">
        <f t="shared" si="15"/>
        <v>14062.231706742001</v>
      </c>
      <c r="L21" s="164">
        <f t="shared" si="8"/>
        <v>0.30184733437825079</v>
      </c>
      <c r="M21" s="41"/>
      <c r="N21" s="41"/>
      <c r="O21" s="41"/>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row>
    <row r="22" spans="1:130" x14ac:dyDescent="0.25">
      <c r="A22" s="61" t="s">
        <v>8</v>
      </c>
      <c r="B22" s="41" t="s">
        <v>5</v>
      </c>
      <c r="C22" s="165">
        <f>'[3]Payscales (1819,1920,1921)'!C46</f>
        <v>26</v>
      </c>
      <c r="D22" s="275">
        <v>37570</v>
      </c>
      <c r="E22" s="275">
        <v>3993.4440000000004</v>
      </c>
      <c r="F22" s="275">
        <v>5402.5660000000007</v>
      </c>
      <c r="G22" s="275">
        <v>46966</v>
      </c>
      <c r="H22" s="275">
        <f t="shared" ref="H22:H36" si="16">G22*0.3</f>
        <v>14089.8</v>
      </c>
      <c r="I22" s="275">
        <f t="shared" ref="I22:I36" si="17">G22*0.7</f>
        <v>32876.199999999997</v>
      </c>
      <c r="J22" s="276">
        <f>I22</f>
        <v>32876.199999999997</v>
      </c>
      <c r="K22" s="268">
        <f t="shared" ref="K22:K36" si="18">G22-J22</f>
        <v>14089.800000000003</v>
      </c>
      <c r="L22" s="164">
        <f t="shared" si="8"/>
        <v>0.30000000000000004</v>
      </c>
      <c r="M22" s="44"/>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row>
    <row r="23" spans="1:130" x14ac:dyDescent="0.25">
      <c r="A23" s="61" t="s">
        <v>8</v>
      </c>
      <c r="B23" s="41"/>
      <c r="C23" s="165">
        <f>'[3]Payscales (1819,1920,1921)'!C47</f>
        <v>27</v>
      </c>
      <c r="D23" s="275">
        <v>37570</v>
      </c>
      <c r="E23" s="275">
        <v>3993.4440000000004</v>
      </c>
      <c r="F23" s="275">
        <v>5402.5660000000007</v>
      </c>
      <c r="G23" s="275">
        <v>46966</v>
      </c>
      <c r="H23" s="275">
        <f t="shared" si="16"/>
        <v>14089.8</v>
      </c>
      <c r="I23" s="275">
        <f t="shared" si="17"/>
        <v>32876.199999999997</v>
      </c>
      <c r="J23" s="276">
        <f t="shared" ref="J23:J29" si="19">I23</f>
        <v>32876.199999999997</v>
      </c>
      <c r="K23" s="268">
        <f t="shared" si="18"/>
        <v>14089.800000000003</v>
      </c>
      <c r="L23" s="164">
        <f t="shared" si="8"/>
        <v>0.30000000000000004</v>
      </c>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row>
    <row r="24" spans="1:130" x14ac:dyDescent="0.25">
      <c r="A24" s="61" t="s">
        <v>8</v>
      </c>
      <c r="B24" s="41"/>
      <c r="C24" s="165">
        <f>'[3]Payscales (1819,1920,1921)'!C48</f>
        <v>28</v>
      </c>
      <c r="D24" s="275">
        <v>37570</v>
      </c>
      <c r="E24" s="275">
        <v>3993.4440000000004</v>
      </c>
      <c r="F24" s="275">
        <v>5402.5660000000007</v>
      </c>
      <c r="G24" s="275">
        <v>46966</v>
      </c>
      <c r="H24" s="275">
        <f t="shared" si="16"/>
        <v>14089.8</v>
      </c>
      <c r="I24" s="275">
        <f t="shared" si="17"/>
        <v>32876.199999999997</v>
      </c>
      <c r="J24" s="276">
        <f t="shared" si="19"/>
        <v>32876.199999999997</v>
      </c>
      <c r="K24" s="277">
        <f t="shared" si="18"/>
        <v>14089.800000000003</v>
      </c>
      <c r="L24" s="164">
        <f t="shared" si="8"/>
        <v>0.30000000000000004</v>
      </c>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row>
    <row r="25" spans="1:130" x14ac:dyDescent="0.25">
      <c r="A25" s="61" t="s">
        <v>8</v>
      </c>
      <c r="B25" s="41"/>
      <c r="C25" s="165">
        <f>'[3]Payscales (1819,1920,1921)'!C49</f>
        <v>29</v>
      </c>
      <c r="D25" s="275">
        <v>37570</v>
      </c>
      <c r="E25" s="275">
        <v>3993.4440000000004</v>
      </c>
      <c r="F25" s="275">
        <v>5402.5660000000007</v>
      </c>
      <c r="G25" s="275">
        <v>46966</v>
      </c>
      <c r="H25" s="275">
        <f t="shared" si="16"/>
        <v>14089.8</v>
      </c>
      <c r="I25" s="275">
        <f t="shared" si="17"/>
        <v>32876.199999999997</v>
      </c>
      <c r="J25" s="276">
        <f t="shared" si="19"/>
        <v>32876.199999999997</v>
      </c>
      <c r="K25" s="277">
        <f t="shared" si="18"/>
        <v>14089.800000000003</v>
      </c>
      <c r="L25" s="164">
        <f t="shared" si="8"/>
        <v>0.30000000000000004</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row>
    <row r="26" spans="1:130" s="43" customFormat="1" x14ac:dyDescent="0.25">
      <c r="A26" s="171" t="s">
        <v>8</v>
      </c>
      <c r="B26" s="172" t="s">
        <v>7</v>
      </c>
      <c r="C26" s="170">
        <f>'[3]Payscales (1819,1920,1921)'!C50</f>
        <v>30</v>
      </c>
      <c r="D26" s="278">
        <v>38765</v>
      </c>
      <c r="E26" s="278">
        <v>4158.3540000000003</v>
      </c>
      <c r="F26" s="278">
        <v>5574.4070000000002</v>
      </c>
      <c r="G26" s="278">
        <v>48498</v>
      </c>
      <c r="H26" s="278">
        <f t="shared" si="16"/>
        <v>14549.4</v>
      </c>
      <c r="I26" s="278">
        <f t="shared" si="17"/>
        <v>33948.6</v>
      </c>
      <c r="J26" s="279">
        <f t="shared" si="19"/>
        <v>33948.6</v>
      </c>
      <c r="K26" s="280">
        <f t="shared" si="18"/>
        <v>14549.400000000001</v>
      </c>
      <c r="L26" s="169">
        <f t="shared" si="8"/>
        <v>0.30000000000000004</v>
      </c>
      <c r="M26" s="19" t="s">
        <v>169</v>
      </c>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row>
    <row r="27" spans="1:130" x14ac:dyDescent="0.25">
      <c r="A27" s="61" t="s">
        <v>8</v>
      </c>
      <c r="B27" s="41"/>
      <c r="C27" s="165">
        <f>'[3]Payscales (1819,1920,1921)'!C51</f>
        <v>31</v>
      </c>
      <c r="D27" s="275">
        <v>38765</v>
      </c>
      <c r="E27" s="275">
        <v>4158.3540000000003</v>
      </c>
      <c r="F27" s="275">
        <v>5574.4070000000002</v>
      </c>
      <c r="G27" s="275">
        <v>48498</v>
      </c>
      <c r="H27" s="275">
        <f t="shared" si="16"/>
        <v>14549.4</v>
      </c>
      <c r="I27" s="275">
        <f t="shared" si="17"/>
        <v>33948.6</v>
      </c>
      <c r="J27" s="276">
        <f t="shared" si="19"/>
        <v>33948.6</v>
      </c>
      <c r="K27" s="277">
        <f t="shared" si="18"/>
        <v>14549.400000000001</v>
      </c>
      <c r="L27" s="164">
        <f t="shared" si="8"/>
        <v>0.30000000000000004</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row>
    <row r="28" spans="1:130" x14ac:dyDescent="0.25">
      <c r="A28" s="61" t="s">
        <v>8</v>
      </c>
      <c r="B28" s="41"/>
      <c r="C28" s="165">
        <f>'[3]Payscales (1819,1920,1921)'!C52</f>
        <v>32</v>
      </c>
      <c r="D28" s="275">
        <v>40092</v>
      </c>
      <c r="E28" s="275">
        <v>4341.4800000000005</v>
      </c>
      <c r="F28" s="275">
        <v>5765.2296000000006</v>
      </c>
      <c r="G28" s="275">
        <v>50199</v>
      </c>
      <c r="H28" s="275">
        <f t="shared" si="16"/>
        <v>15059.699999999999</v>
      </c>
      <c r="I28" s="275">
        <f t="shared" si="17"/>
        <v>35139.299999999996</v>
      </c>
      <c r="J28" s="276">
        <f t="shared" si="19"/>
        <v>35139.299999999996</v>
      </c>
      <c r="K28" s="277">
        <f t="shared" si="18"/>
        <v>15059.700000000004</v>
      </c>
      <c r="L28" s="164">
        <f t="shared" si="8"/>
        <v>0.3000000000000001</v>
      </c>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row>
    <row r="29" spans="1:130" x14ac:dyDescent="0.25">
      <c r="A29" s="61" t="s">
        <v>8</v>
      </c>
      <c r="B29" s="41"/>
      <c r="C29" s="165">
        <f>'[3]Payscales (1819,1920,1921)'!C53</f>
        <v>33</v>
      </c>
      <c r="D29" s="275">
        <v>41486</v>
      </c>
      <c r="E29" s="275">
        <v>4533.8520000000008</v>
      </c>
      <c r="F29" s="275">
        <v>5965.6868000000004</v>
      </c>
      <c r="G29" s="275">
        <v>51986</v>
      </c>
      <c r="H29" s="275">
        <f t="shared" si="16"/>
        <v>15595.8</v>
      </c>
      <c r="I29" s="275">
        <f t="shared" si="17"/>
        <v>36390.199999999997</v>
      </c>
      <c r="J29" s="276">
        <f t="shared" si="19"/>
        <v>36390.199999999997</v>
      </c>
      <c r="K29" s="277">
        <f t="shared" si="18"/>
        <v>15595.800000000003</v>
      </c>
      <c r="L29" s="164">
        <f t="shared" si="8"/>
        <v>0.30000000000000004</v>
      </c>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row>
    <row r="30" spans="1:130" x14ac:dyDescent="0.25">
      <c r="A30" s="61" t="s">
        <v>8</v>
      </c>
      <c r="B30" s="41" t="s">
        <v>6</v>
      </c>
      <c r="C30" s="165">
        <f>'[3]Payscales (1819,1920,1921)'!C54</f>
        <v>34</v>
      </c>
      <c r="D30" s="275">
        <v>44253</v>
      </c>
      <c r="E30" s="275">
        <v>4915.6980000000003</v>
      </c>
      <c r="F30" s="275">
        <v>6363.5814000000009</v>
      </c>
      <c r="G30" s="275">
        <v>55532</v>
      </c>
      <c r="H30" s="275">
        <f t="shared" si="16"/>
        <v>16659.599999999999</v>
      </c>
      <c r="I30" s="275">
        <f t="shared" si="17"/>
        <v>38872.399999999994</v>
      </c>
      <c r="J30" s="276">
        <v>37810</v>
      </c>
      <c r="K30" s="277">
        <f t="shared" si="18"/>
        <v>17722</v>
      </c>
      <c r="L30" s="164">
        <f t="shared" si="8"/>
        <v>0.31913131167615066</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row>
    <row r="31" spans="1:130" x14ac:dyDescent="0.25">
      <c r="A31" s="61" t="s">
        <v>9</v>
      </c>
      <c r="B31" s="41" t="s">
        <v>5</v>
      </c>
      <c r="C31" s="165">
        <f>'[3]Payscales (1819,1920,1921)'!C55</f>
        <v>33</v>
      </c>
      <c r="D31" s="275">
        <v>44606</v>
      </c>
      <c r="E31" s="275">
        <v>4964.4120000000003</v>
      </c>
      <c r="F31" s="275">
        <v>6414.3428000000004</v>
      </c>
      <c r="G31" s="275">
        <v>55985</v>
      </c>
      <c r="H31" s="275">
        <f t="shared" si="16"/>
        <v>16795.5</v>
      </c>
      <c r="I31" s="275">
        <f t="shared" si="17"/>
        <v>39189.5</v>
      </c>
      <c r="J31" s="276">
        <v>37810</v>
      </c>
      <c r="K31" s="277">
        <f t="shared" si="18"/>
        <v>18175</v>
      </c>
      <c r="L31" s="164">
        <f t="shared" si="8"/>
        <v>0.32464052871304816</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row>
    <row r="32" spans="1:130" x14ac:dyDescent="0.25">
      <c r="A32" s="61" t="s">
        <v>9</v>
      </c>
      <c r="B32" s="41"/>
      <c r="C32" s="165">
        <f>'[3]Payscales (1819,1920,1921)'!C56</f>
        <v>34</v>
      </c>
      <c r="D32" s="275">
        <v>44606</v>
      </c>
      <c r="E32" s="275">
        <v>4964.4120000000003</v>
      </c>
      <c r="F32" s="275">
        <v>6414.3428000000004</v>
      </c>
      <c r="G32" s="275">
        <v>55985</v>
      </c>
      <c r="H32" s="275">
        <f t="shared" si="16"/>
        <v>16795.5</v>
      </c>
      <c r="I32" s="275">
        <f t="shared" si="17"/>
        <v>39189.5</v>
      </c>
      <c r="J32" s="276">
        <v>37810</v>
      </c>
      <c r="K32" s="277">
        <f t="shared" si="18"/>
        <v>18175</v>
      </c>
      <c r="L32" s="164">
        <f t="shared" si="8"/>
        <v>0.32464052871304816</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row>
    <row r="33" spans="1:130" x14ac:dyDescent="0.25">
      <c r="A33" s="61" t="s">
        <v>9</v>
      </c>
      <c r="B33" s="41"/>
      <c r="C33" s="165">
        <f>'[3]Payscales (1819,1920,1921)'!C57</f>
        <v>35</v>
      </c>
      <c r="D33" s="275">
        <v>44606</v>
      </c>
      <c r="E33" s="275">
        <v>4964.4120000000003</v>
      </c>
      <c r="F33" s="275">
        <v>6414.3428000000004</v>
      </c>
      <c r="G33" s="275">
        <v>55985</v>
      </c>
      <c r="H33" s="275">
        <f t="shared" si="16"/>
        <v>16795.5</v>
      </c>
      <c r="I33" s="275">
        <f t="shared" si="17"/>
        <v>39189.5</v>
      </c>
      <c r="J33" s="276">
        <v>37810</v>
      </c>
      <c r="K33" s="277">
        <f t="shared" si="18"/>
        <v>18175</v>
      </c>
      <c r="L33" s="164">
        <f t="shared" si="8"/>
        <v>0.32464052871304816</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row>
    <row r="34" spans="1:130" s="43" customFormat="1" x14ac:dyDescent="0.25">
      <c r="A34" s="61" t="s">
        <v>9</v>
      </c>
      <c r="B34" s="41" t="s">
        <v>7</v>
      </c>
      <c r="C34" s="204">
        <f>'[3]Payscales (1819,1920,1921)'!C58</f>
        <v>36</v>
      </c>
      <c r="D34" s="278">
        <v>46331</v>
      </c>
      <c r="E34" s="278">
        <v>5202.4620000000004</v>
      </c>
      <c r="F34" s="278">
        <v>6662.3978000000006</v>
      </c>
      <c r="G34" s="278">
        <v>58196</v>
      </c>
      <c r="H34" s="278">
        <f t="shared" si="16"/>
        <v>17458.8</v>
      </c>
      <c r="I34" s="278">
        <f t="shared" si="17"/>
        <v>40737.199999999997</v>
      </c>
      <c r="J34" s="279">
        <v>37810</v>
      </c>
      <c r="K34" s="280">
        <f t="shared" si="18"/>
        <v>20386</v>
      </c>
      <c r="L34" s="169">
        <f t="shared" si="8"/>
        <v>0.35029898962127981</v>
      </c>
      <c r="M34" s="19" t="s">
        <v>170</v>
      </c>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row>
    <row r="35" spans="1:130" x14ac:dyDescent="0.25">
      <c r="A35" s="61" t="s">
        <v>9</v>
      </c>
      <c r="B35" s="41"/>
      <c r="C35" s="165">
        <f>'[3]Payscales (1819,1920,1921)'!C59</f>
        <v>37</v>
      </c>
      <c r="D35" s="275">
        <v>48324</v>
      </c>
      <c r="E35" s="275">
        <v>5477.4960000000001</v>
      </c>
      <c r="F35" s="275">
        <v>6948.9912000000004</v>
      </c>
      <c r="G35" s="275">
        <v>60750</v>
      </c>
      <c r="H35" s="275">
        <f t="shared" si="16"/>
        <v>18225</v>
      </c>
      <c r="I35" s="275">
        <f t="shared" si="17"/>
        <v>42525</v>
      </c>
      <c r="J35" s="276">
        <v>37810</v>
      </c>
      <c r="K35" s="277">
        <f t="shared" si="18"/>
        <v>22940</v>
      </c>
      <c r="L35" s="164">
        <f t="shared" si="8"/>
        <v>0.37761316872427986</v>
      </c>
    </row>
    <row r="36" spans="1:130" x14ac:dyDescent="0.25">
      <c r="A36" s="61" t="s">
        <v>9</v>
      </c>
      <c r="B36" s="41" t="s">
        <v>6</v>
      </c>
      <c r="C36" s="165">
        <f>'[3]Payscales (1819,1920,1921)'!C60</f>
        <v>38</v>
      </c>
      <c r="D36" s="275">
        <v>51378</v>
      </c>
      <c r="E36" s="275">
        <v>5898.9480000000003</v>
      </c>
      <c r="F36" s="275">
        <v>7388.1564000000008</v>
      </c>
      <c r="G36" s="275">
        <v>64665</v>
      </c>
      <c r="H36" s="275">
        <f t="shared" si="16"/>
        <v>19399.5</v>
      </c>
      <c r="I36" s="275">
        <f t="shared" si="17"/>
        <v>45265.5</v>
      </c>
      <c r="J36" s="276">
        <v>37810</v>
      </c>
      <c r="K36" s="277">
        <f t="shared" si="18"/>
        <v>26855</v>
      </c>
      <c r="L36" s="164">
        <f t="shared" si="8"/>
        <v>0.41529420861362404</v>
      </c>
    </row>
    <row r="37" spans="1:130" x14ac:dyDescent="0.25">
      <c r="C37" s="14"/>
      <c r="E37" s="8"/>
    </row>
    <row r="38" spans="1:130" x14ac:dyDescent="0.25">
      <c r="E38" s="8"/>
    </row>
    <row r="39" spans="1:130" x14ac:dyDescent="0.25">
      <c r="A39" s="1" t="s">
        <v>59</v>
      </c>
      <c r="E39" s="8"/>
    </row>
    <row r="40" spans="1:130" x14ac:dyDescent="0.25">
      <c r="A40" s="1" t="s">
        <v>241</v>
      </c>
      <c r="E40" s="8"/>
    </row>
    <row r="41" spans="1:130" x14ac:dyDescent="0.25">
      <c r="A41" s="1" t="s">
        <v>242</v>
      </c>
      <c r="E41" s="8"/>
    </row>
    <row r="42" spans="1:130" x14ac:dyDescent="0.25">
      <c r="E42" s="8"/>
    </row>
    <row r="43" spans="1:130" x14ac:dyDescent="0.25">
      <c r="A43" s="1" t="s">
        <v>240</v>
      </c>
      <c r="E43" s="8"/>
    </row>
    <row r="44" spans="1:130" x14ac:dyDescent="0.25">
      <c r="A44" s="37" t="s">
        <v>239</v>
      </c>
      <c r="E44" s="8"/>
    </row>
    <row r="45" spans="1:130" x14ac:dyDescent="0.25">
      <c r="E45" s="8"/>
    </row>
    <row r="46" spans="1:130" x14ac:dyDescent="0.25">
      <c r="A46" s="37" t="s">
        <v>236</v>
      </c>
      <c r="B46" s="37"/>
      <c r="C46" s="37"/>
      <c r="D46" s="4"/>
      <c r="E46" s="8"/>
      <c r="H46" s="37"/>
    </row>
    <row r="47" spans="1:130" x14ac:dyDescent="0.25">
      <c r="A47" s="37"/>
      <c r="B47" s="37"/>
      <c r="C47" s="37"/>
      <c r="D47" s="4"/>
      <c r="E47" s="8"/>
      <c r="H47" s="37"/>
    </row>
    <row r="48" spans="1:130" x14ac:dyDescent="0.25">
      <c r="A48" s="37" t="s">
        <v>237</v>
      </c>
      <c r="B48" s="37"/>
      <c r="C48" s="37"/>
      <c r="D48" s="4"/>
      <c r="E48" s="40"/>
      <c r="H48" s="37"/>
    </row>
    <row r="49" spans="1:8" x14ac:dyDescent="0.25">
      <c r="A49" s="37"/>
      <c r="B49" s="37"/>
      <c r="C49" s="37"/>
      <c r="D49" s="4"/>
      <c r="E49" s="40"/>
      <c r="H49" s="37"/>
    </row>
    <row r="50" spans="1:8" x14ac:dyDescent="0.25">
      <c r="A50" s="37" t="s">
        <v>238</v>
      </c>
      <c r="B50" s="37"/>
      <c r="C50" s="37"/>
      <c r="D50" s="4"/>
      <c r="E50" s="8"/>
      <c r="H50" s="37"/>
    </row>
    <row r="51" spans="1:8" x14ac:dyDescent="0.25">
      <c r="A51" s="37"/>
      <c r="E51" s="8"/>
    </row>
    <row r="52" spans="1:8" x14ac:dyDescent="0.25">
      <c r="E52" s="8"/>
    </row>
    <row r="53" spans="1:8" x14ac:dyDescent="0.25">
      <c r="E53" s="8"/>
    </row>
    <row r="54" spans="1:8" x14ac:dyDescent="0.25">
      <c r="E54" s="8"/>
    </row>
    <row r="55" spans="1:8" x14ac:dyDescent="0.25">
      <c r="E55" s="8"/>
    </row>
    <row r="56" spans="1:8" x14ac:dyDescent="0.25">
      <c r="E56" s="8"/>
    </row>
    <row r="57" spans="1:8" x14ac:dyDescent="0.25">
      <c r="E57" s="8"/>
    </row>
    <row r="58" spans="1:8" x14ac:dyDescent="0.25">
      <c r="E58" s="8"/>
    </row>
    <row r="59" spans="1:8" x14ac:dyDescent="0.25">
      <c r="E59" s="8"/>
    </row>
    <row r="60" spans="1:8" x14ac:dyDescent="0.25">
      <c r="E60" s="8"/>
    </row>
    <row r="61" spans="1:8" x14ac:dyDescent="0.25">
      <c r="E61" s="8"/>
    </row>
    <row r="62" spans="1:8" x14ac:dyDescent="0.25">
      <c r="E62" s="8"/>
    </row>
    <row r="63" spans="1:8" x14ac:dyDescent="0.25">
      <c r="E63" s="8"/>
    </row>
    <row r="64" spans="1:8" x14ac:dyDescent="0.25">
      <c r="E64" s="8"/>
    </row>
    <row r="65" spans="5:5" x14ac:dyDescent="0.25">
      <c r="E65" s="8"/>
    </row>
    <row r="66" spans="5:5" x14ac:dyDescent="0.25">
      <c r="E66" s="8"/>
    </row>
    <row r="67" spans="5:5" x14ac:dyDescent="0.25">
      <c r="E67" s="8"/>
    </row>
    <row r="68" spans="5:5" x14ac:dyDescent="0.25">
      <c r="E68" s="8"/>
    </row>
    <row r="69" spans="5:5" x14ac:dyDescent="0.25">
      <c r="E69" s="8"/>
    </row>
    <row r="70" spans="5:5" x14ac:dyDescent="0.25">
      <c r="E70" s="8"/>
    </row>
    <row r="71" spans="5:5" x14ac:dyDescent="0.25">
      <c r="E71" s="8"/>
    </row>
    <row r="72" spans="5:5" x14ac:dyDescent="0.25">
      <c r="E72" s="8"/>
    </row>
    <row r="73" spans="5:5" x14ac:dyDescent="0.25">
      <c r="E73" s="8"/>
    </row>
    <row r="74" spans="5:5" x14ac:dyDescent="0.25">
      <c r="E74" s="8"/>
    </row>
    <row r="75" spans="5:5" x14ac:dyDescent="0.25">
      <c r="E75" s="8"/>
    </row>
    <row r="76" spans="5:5" x14ac:dyDescent="0.25">
      <c r="E76" s="8"/>
    </row>
    <row r="77" spans="5:5" x14ac:dyDescent="0.25">
      <c r="E77" s="8"/>
    </row>
    <row r="78" spans="5:5" x14ac:dyDescent="0.25">
      <c r="E78" s="8"/>
    </row>
    <row r="79" spans="5:5" x14ac:dyDescent="0.25">
      <c r="E79" s="8"/>
    </row>
    <row r="80" spans="5:5" x14ac:dyDescent="0.25">
      <c r="E80" s="8"/>
    </row>
    <row r="81" spans="5:5" x14ac:dyDescent="0.25">
      <c r="E81" s="8"/>
    </row>
    <row r="82" spans="5:5" x14ac:dyDescent="0.25">
      <c r="E82" s="8"/>
    </row>
    <row r="83" spans="5:5" x14ac:dyDescent="0.25">
      <c r="E83" s="8"/>
    </row>
    <row r="84" spans="5:5" x14ac:dyDescent="0.25">
      <c r="E84" s="8"/>
    </row>
    <row r="85" spans="5:5" x14ac:dyDescent="0.25">
      <c r="E85" s="8"/>
    </row>
    <row r="86" spans="5:5" x14ac:dyDescent="0.25">
      <c r="E86" s="8"/>
    </row>
    <row r="87" spans="5:5" x14ac:dyDescent="0.25">
      <c r="E87" s="8"/>
    </row>
    <row r="88" spans="5:5" x14ac:dyDescent="0.25">
      <c r="E88" s="8"/>
    </row>
    <row r="89" spans="5:5" x14ac:dyDescent="0.25">
      <c r="E89" s="8"/>
    </row>
    <row r="90" spans="5:5" x14ac:dyDescent="0.25">
      <c r="E90" s="8"/>
    </row>
    <row r="91" spans="5:5" x14ac:dyDescent="0.25">
      <c r="E91" s="8"/>
    </row>
    <row r="92" spans="5:5" x14ac:dyDescent="0.25">
      <c r="E92" s="8"/>
    </row>
    <row r="93" spans="5:5" x14ac:dyDescent="0.25">
      <c r="E93" s="8"/>
    </row>
    <row r="94" spans="5:5" x14ac:dyDescent="0.25">
      <c r="E94" s="8"/>
    </row>
    <row r="95" spans="5:5" x14ac:dyDescent="0.25">
      <c r="E95" s="8"/>
    </row>
    <row r="96" spans="5:5" x14ac:dyDescent="0.25">
      <c r="E96" s="8"/>
    </row>
    <row r="97" spans="5:5" x14ac:dyDescent="0.25">
      <c r="E97" s="8"/>
    </row>
    <row r="98" spans="5:5" x14ac:dyDescent="0.25">
      <c r="E98" s="8"/>
    </row>
    <row r="99" spans="5:5" x14ac:dyDescent="0.25">
      <c r="E99" s="8"/>
    </row>
    <row r="100" spans="5:5" x14ac:dyDescent="0.25">
      <c r="E100" s="8"/>
    </row>
    <row r="101" spans="5:5" x14ac:dyDescent="0.25">
      <c r="E101" s="8"/>
    </row>
    <row r="102" spans="5:5" x14ac:dyDescent="0.25">
      <c r="E102" s="8"/>
    </row>
    <row r="103" spans="5:5" x14ac:dyDescent="0.25">
      <c r="E103" s="8"/>
    </row>
    <row r="104" spans="5:5" x14ac:dyDescent="0.25">
      <c r="E104" s="8"/>
    </row>
    <row r="105" spans="5:5" x14ac:dyDescent="0.25">
      <c r="E105" s="8"/>
    </row>
    <row r="106" spans="5:5" x14ac:dyDescent="0.25">
      <c r="E106" s="8"/>
    </row>
    <row r="107" spans="5:5" x14ac:dyDescent="0.25">
      <c r="E107" s="8"/>
    </row>
    <row r="108" spans="5:5" x14ac:dyDescent="0.25">
      <c r="E108" s="8"/>
    </row>
    <row r="109" spans="5:5" x14ac:dyDescent="0.25">
      <c r="E109" s="8"/>
    </row>
    <row r="110" spans="5:5" x14ac:dyDescent="0.25">
      <c r="E110" s="8"/>
    </row>
    <row r="111" spans="5:5" x14ac:dyDescent="0.25">
      <c r="E111" s="8"/>
    </row>
    <row r="112" spans="5:5" x14ac:dyDescent="0.25">
      <c r="E112" s="8"/>
    </row>
    <row r="113" spans="5:5" x14ac:dyDescent="0.25">
      <c r="E113" s="8"/>
    </row>
    <row r="114" spans="5:5" x14ac:dyDescent="0.25">
      <c r="E114" s="8"/>
    </row>
    <row r="115" spans="5:5" x14ac:dyDescent="0.25">
      <c r="E115" s="8"/>
    </row>
    <row r="116" spans="5:5" x14ac:dyDescent="0.25">
      <c r="E116" s="8"/>
    </row>
    <row r="117" spans="5:5" x14ac:dyDescent="0.25">
      <c r="E117" s="8"/>
    </row>
    <row r="118" spans="5:5" x14ac:dyDescent="0.25">
      <c r="E118" s="8"/>
    </row>
    <row r="119" spans="5:5" x14ac:dyDescent="0.25">
      <c r="E119" s="8"/>
    </row>
    <row r="120" spans="5:5" x14ac:dyDescent="0.25">
      <c r="E120" s="8"/>
    </row>
    <row r="121" spans="5:5" x14ac:dyDescent="0.25">
      <c r="E121" s="8"/>
    </row>
    <row r="122" spans="5:5" x14ac:dyDescent="0.25">
      <c r="E122" s="8"/>
    </row>
    <row r="123" spans="5:5" x14ac:dyDescent="0.25">
      <c r="E123" s="8"/>
    </row>
    <row r="124" spans="5:5" x14ac:dyDescent="0.25">
      <c r="E124" s="8"/>
    </row>
    <row r="125" spans="5:5" x14ac:dyDescent="0.25">
      <c r="E125" s="8"/>
    </row>
    <row r="126" spans="5:5" x14ac:dyDescent="0.25">
      <c r="E126" s="8"/>
    </row>
    <row r="127" spans="5:5" x14ac:dyDescent="0.25">
      <c r="E127" s="8"/>
    </row>
    <row r="128" spans="5:5" x14ac:dyDescent="0.25">
      <c r="E128" s="8"/>
    </row>
    <row r="129" spans="5:5" x14ac:dyDescent="0.25">
      <c r="E129" s="8"/>
    </row>
    <row r="130" spans="5:5" x14ac:dyDescent="0.25">
      <c r="E130" s="8"/>
    </row>
    <row r="131" spans="5:5" x14ac:dyDescent="0.25">
      <c r="E131" s="8"/>
    </row>
    <row r="132" spans="5:5" x14ac:dyDescent="0.25">
      <c r="E132" s="8"/>
    </row>
    <row r="133" spans="5:5" x14ac:dyDescent="0.25">
      <c r="E133" s="8"/>
    </row>
    <row r="134" spans="5:5" x14ac:dyDescent="0.25">
      <c r="E134" s="8"/>
    </row>
    <row r="135" spans="5:5" x14ac:dyDescent="0.25">
      <c r="E135" s="8"/>
    </row>
    <row r="136" spans="5:5" x14ac:dyDescent="0.25">
      <c r="E136" s="8"/>
    </row>
    <row r="137" spans="5:5" x14ac:dyDescent="0.25">
      <c r="E137" s="8"/>
    </row>
    <row r="138" spans="5:5" x14ac:dyDescent="0.25">
      <c r="E138" s="8"/>
    </row>
    <row r="139" spans="5:5" x14ac:dyDescent="0.25">
      <c r="E139" s="8"/>
    </row>
    <row r="140" spans="5:5" x14ac:dyDescent="0.25">
      <c r="E140" s="8"/>
    </row>
    <row r="141" spans="5:5" x14ac:dyDescent="0.25">
      <c r="E141" s="8"/>
    </row>
    <row r="142" spans="5:5" x14ac:dyDescent="0.25">
      <c r="E142" s="8"/>
    </row>
    <row r="143" spans="5:5" x14ac:dyDescent="0.25">
      <c r="E143" s="8"/>
    </row>
    <row r="144" spans="5:5" x14ac:dyDescent="0.25">
      <c r="E144" s="8"/>
    </row>
    <row r="145" spans="5:5" x14ac:dyDescent="0.25">
      <c r="E145" s="8"/>
    </row>
    <row r="146" spans="5:5" x14ac:dyDescent="0.25">
      <c r="E146" s="8"/>
    </row>
    <row r="147" spans="5:5" x14ac:dyDescent="0.25">
      <c r="E147" s="8"/>
    </row>
    <row r="148" spans="5:5" x14ac:dyDescent="0.25">
      <c r="E148" s="8"/>
    </row>
    <row r="149" spans="5:5" x14ac:dyDescent="0.25">
      <c r="E149" s="8"/>
    </row>
    <row r="150" spans="5:5" x14ac:dyDescent="0.25">
      <c r="E150" s="8"/>
    </row>
    <row r="151" spans="5:5" x14ac:dyDescent="0.25">
      <c r="E151" s="8"/>
    </row>
    <row r="152" spans="5:5" x14ac:dyDescent="0.25">
      <c r="E152" s="8"/>
    </row>
    <row r="153" spans="5:5" x14ac:dyDescent="0.25">
      <c r="E153" s="8"/>
    </row>
    <row r="154" spans="5:5" x14ac:dyDescent="0.25">
      <c r="E154" s="8"/>
    </row>
    <row r="155" spans="5:5" x14ac:dyDescent="0.25">
      <c r="E155" s="8"/>
    </row>
    <row r="156" spans="5:5" x14ac:dyDescent="0.25">
      <c r="E156" s="8"/>
    </row>
    <row r="157" spans="5:5" x14ac:dyDescent="0.25">
      <c r="E157" s="8"/>
    </row>
    <row r="158" spans="5:5" x14ac:dyDescent="0.25">
      <c r="E158" s="8"/>
    </row>
    <row r="159" spans="5:5" x14ac:dyDescent="0.25">
      <c r="E159" s="8"/>
    </row>
    <row r="160" spans="5:5" x14ac:dyDescent="0.25">
      <c r="E160" s="8"/>
    </row>
    <row r="161" spans="5:5" x14ac:dyDescent="0.25">
      <c r="E161" s="8"/>
    </row>
    <row r="162" spans="5:5" x14ac:dyDescent="0.25">
      <c r="E162" s="8"/>
    </row>
    <row r="163" spans="5:5" x14ac:dyDescent="0.25">
      <c r="E163" s="8"/>
    </row>
    <row r="164" spans="5:5" x14ac:dyDescent="0.25">
      <c r="E164" s="8"/>
    </row>
    <row r="165" spans="5:5" x14ac:dyDescent="0.25">
      <c r="E165" s="8"/>
    </row>
    <row r="166" spans="5:5" x14ac:dyDescent="0.25">
      <c r="E166" s="8"/>
    </row>
    <row r="167" spans="5:5" x14ac:dyDescent="0.25">
      <c r="E167" s="8"/>
    </row>
    <row r="168" spans="5:5" x14ac:dyDescent="0.25">
      <c r="E168" s="8"/>
    </row>
    <row r="169" spans="5:5" x14ac:dyDescent="0.25">
      <c r="E169" s="8"/>
    </row>
    <row r="170" spans="5:5" x14ac:dyDescent="0.25">
      <c r="E170" s="8"/>
    </row>
    <row r="171" spans="5:5" x14ac:dyDescent="0.25">
      <c r="E171" s="8"/>
    </row>
    <row r="172" spans="5:5" x14ac:dyDescent="0.25">
      <c r="E172" s="8"/>
    </row>
    <row r="173" spans="5:5" x14ac:dyDescent="0.25">
      <c r="E173" s="8"/>
    </row>
    <row r="174" spans="5:5" x14ac:dyDescent="0.25">
      <c r="E174" s="8"/>
    </row>
    <row r="175" spans="5:5" x14ac:dyDescent="0.25">
      <c r="E175" s="8"/>
    </row>
    <row r="176" spans="5:5" x14ac:dyDescent="0.25">
      <c r="E176" s="8"/>
    </row>
    <row r="177" spans="5:5" x14ac:dyDescent="0.25">
      <c r="E177" s="8"/>
    </row>
    <row r="178" spans="5:5" x14ac:dyDescent="0.25">
      <c r="E178" s="8"/>
    </row>
    <row r="179" spans="5:5" x14ac:dyDescent="0.25">
      <c r="E179" s="8"/>
    </row>
    <row r="180" spans="5:5" x14ac:dyDescent="0.25">
      <c r="E180" s="8"/>
    </row>
    <row r="181" spans="5:5" x14ac:dyDescent="0.25">
      <c r="E181" s="8"/>
    </row>
    <row r="182" spans="5:5" x14ac:dyDescent="0.25">
      <c r="E182" s="8"/>
    </row>
    <row r="183" spans="5:5" x14ac:dyDescent="0.25">
      <c r="E183" s="8"/>
    </row>
    <row r="184" spans="5:5" x14ac:dyDescent="0.25">
      <c r="E184" s="8"/>
    </row>
    <row r="185" spans="5:5" x14ac:dyDescent="0.25">
      <c r="E185" s="8"/>
    </row>
    <row r="186" spans="5:5" x14ac:dyDescent="0.25">
      <c r="E186" s="8"/>
    </row>
    <row r="187" spans="5:5" x14ac:dyDescent="0.25">
      <c r="E187" s="8"/>
    </row>
    <row r="188" spans="5:5" x14ac:dyDescent="0.25">
      <c r="E188" s="8"/>
    </row>
    <row r="189" spans="5:5" x14ac:dyDescent="0.25">
      <c r="E189" s="8"/>
    </row>
    <row r="190" spans="5:5" x14ac:dyDescent="0.25">
      <c r="E190" s="8"/>
    </row>
    <row r="191" spans="5:5" x14ac:dyDescent="0.25">
      <c r="E191" s="8"/>
    </row>
    <row r="192" spans="5:5" x14ac:dyDescent="0.25">
      <c r="E192" s="8"/>
    </row>
    <row r="193" spans="5:5" x14ac:dyDescent="0.25">
      <c r="E193" s="8"/>
    </row>
    <row r="194" spans="5:5" x14ac:dyDescent="0.25">
      <c r="E194" s="8"/>
    </row>
    <row r="195" spans="5:5" x14ac:dyDescent="0.25">
      <c r="E195" s="8"/>
    </row>
    <row r="196" spans="5:5" x14ac:dyDescent="0.25">
      <c r="E196" s="8"/>
    </row>
    <row r="197" spans="5:5" x14ac:dyDescent="0.25">
      <c r="E197" s="8"/>
    </row>
    <row r="198" spans="5:5" x14ac:dyDescent="0.25">
      <c r="E198" s="8"/>
    </row>
    <row r="199" spans="5:5" x14ac:dyDescent="0.25">
      <c r="E199" s="8"/>
    </row>
    <row r="200" spans="5:5" x14ac:dyDescent="0.25">
      <c r="E200" s="8"/>
    </row>
    <row r="201" spans="5:5" x14ac:dyDescent="0.25">
      <c r="E201" s="8"/>
    </row>
    <row r="202" spans="5:5" x14ac:dyDescent="0.25">
      <c r="E202" s="8"/>
    </row>
    <row r="203" spans="5:5" x14ac:dyDescent="0.25">
      <c r="E203" s="8"/>
    </row>
    <row r="204" spans="5:5" x14ac:dyDescent="0.25">
      <c r="E204" s="8"/>
    </row>
    <row r="205" spans="5:5" x14ac:dyDescent="0.25">
      <c r="E205" s="8"/>
    </row>
    <row r="206" spans="5:5" x14ac:dyDescent="0.25">
      <c r="E206" s="8"/>
    </row>
    <row r="207" spans="5:5" x14ac:dyDescent="0.25">
      <c r="E207" s="8"/>
    </row>
    <row r="208" spans="5:5" x14ac:dyDescent="0.25">
      <c r="E208" s="8"/>
    </row>
    <row r="209" spans="5:5" x14ac:dyDescent="0.25">
      <c r="E209" s="8"/>
    </row>
    <row r="210" spans="5:5" x14ac:dyDescent="0.25">
      <c r="E210" s="8"/>
    </row>
    <row r="211" spans="5:5" x14ac:dyDescent="0.25">
      <c r="E211" s="8"/>
    </row>
    <row r="212" spans="5:5" x14ac:dyDescent="0.25">
      <c r="E212" s="8"/>
    </row>
    <row r="213" spans="5:5" x14ac:dyDescent="0.25">
      <c r="E213" s="8"/>
    </row>
    <row r="214" spans="5:5" x14ac:dyDescent="0.25">
      <c r="E214" s="8"/>
    </row>
    <row r="215" spans="5:5" x14ac:dyDescent="0.25">
      <c r="E215" s="8"/>
    </row>
    <row r="216" spans="5:5" x14ac:dyDescent="0.25">
      <c r="E216" s="8"/>
    </row>
    <row r="217" spans="5:5" x14ac:dyDescent="0.25">
      <c r="E217" s="8"/>
    </row>
    <row r="218" spans="5:5" x14ac:dyDescent="0.25">
      <c r="E218" s="8"/>
    </row>
    <row r="219" spans="5:5" x14ac:dyDescent="0.25">
      <c r="E219" s="8"/>
    </row>
    <row r="220" spans="5:5" x14ac:dyDescent="0.25">
      <c r="E220" s="8"/>
    </row>
    <row r="221" spans="5:5" x14ac:dyDescent="0.25">
      <c r="E221" s="8"/>
    </row>
    <row r="222" spans="5:5" x14ac:dyDescent="0.25">
      <c r="E222" s="8"/>
    </row>
    <row r="223" spans="5:5" x14ac:dyDescent="0.25">
      <c r="E223" s="8"/>
    </row>
    <row r="224" spans="5:5" x14ac:dyDescent="0.25">
      <c r="E224" s="8"/>
    </row>
    <row r="225" spans="5:5" x14ac:dyDescent="0.25">
      <c r="E225" s="8"/>
    </row>
    <row r="226" spans="5:5" x14ac:dyDescent="0.25">
      <c r="E226" s="8"/>
    </row>
    <row r="227" spans="5:5" x14ac:dyDescent="0.25">
      <c r="E227" s="8"/>
    </row>
    <row r="228" spans="5:5" x14ac:dyDescent="0.25">
      <c r="E228" s="8"/>
    </row>
    <row r="229" spans="5:5" x14ac:dyDescent="0.25">
      <c r="E229" s="8"/>
    </row>
    <row r="230" spans="5:5" x14ac:dyDescent="0.25">
      <c r="E230" s="8"/>
    </row>
    <row r="231" spans="5:5" x14ac:dyDescent="0.25">
      <c r="E231" s="8"/>
    </row>
    <row r="232" spans="5:5" x14ac:dyDescent="0.25">
      <c r="E232" s="8"/>
    </row>
    <row r="233" spans="5:5" x14ac:dyDescent="0.25">
      <c r="E233" s="8"/>
    </row>
    <row r="234" spans="5:5" x14ac:dyDescent="0.25">
      <c r="E234" s="8"/>
    </row>
    <row r="235" spans="5:5" x14ac:dyDescent="0.25">
      <c r="E235" s="8"/>
    </row>
    <row r="236" spans="5:5" x14ac:dyDescent="0.25">
      <c r="E236" s="8"/>
    </row>
    <row r="237" spans="5:5" x14ac:dyDescent="0.25">
      <c r="E237" s="8"/>
    </row>
    <row r="238" spans="5:5" x14ac:dyDescent="0.25">
      <c r="E238" s="8"/>
    </row>
    <row r="239" spans="5:5" x14ac:dyDescent="0.25">
      <c r="E239" s="8"/>
    </row>
    <row r="240" spans="5:5" x14ac:dyDescent="0.25">
      <c r="E240" s="8"/>
    </row>
    <row r="241" spans="5:5" x14ac:dyDescent="0.25">
      <c r="E241" s="8"/>
    </row>
    <row r="242" spans="5:5" x14ac:dyDescent="0.25">
      <c r="E242" s="8"/>
    </row>
    <row r="243" spans="5:5" x14ac:dyDescent="0.25">
      <c r="E243" s="8"/>
    </row>
    <row r="244" spans="5:5" x14ac:dyDescent="0.25">
      <c r="E244" s="8"/>
    </row>
    <row r="245" spans="5:5" x14ac:dyDescent="0.25">
      <c r="E245" s="8"/>
    </row>
    <row r="246" spans="5:5" x14ac:dyDescent="0.25">
      <c r="E246" s="8"/>
    </row>
    <row r="247" spans="5:5" x14ac:dyDescent="0.25">
      <c r="E247" s="8"/>
    </row>
    <row r="248" spans="5:5" x14ac:dyDescent="0.25">
      <c r="E248" s="8"/>
    </row>
    <row r="249" spans="5:5" x14ac:dyDescent="0.25">
      <c r="E249" s="8"/>
    </row>
    <row r="250" spans="5:5" x14ac:dyDescent="0.25">
      <c r="E250" s="8"/>
    </row>
    <row r="251" spans="5:5" x14ac:dyDescent="0.25">
      <c r="E251" s="8"/>
    </row>
    <row r="252" spans="5:5" x14ac:dyDescent="0.25">
      <c r="E252" s="8"/>
    </row>
    <row r="253" spans="5:5" x14ac:dyDescent="0.25">
      <c r="E253" s="8"/>
    </row>
    <row r="254" spans="5:5" x14ac:dyDescent="0.25">
      <c r="E254" s="8"/>
    </row>
    <row r="255" spans="5:5" x14ac:dyDescent="0.25">
      <c r="E255" s="8"/>
    </row>
    <row r="256" spans="5:5" x14ac:dyDescent="0.25">
      <c r="E256" s="8"/>
    </row>
    <row r="257" spans="5:5" x14ac:dyDescent="0.25">
      <c r="E257" s="8"/>
    </row>
    <row r="258" spans="5:5" x14ac:dyDescent="0.25">
      <c r="E258" s="8"/>
    </row>
    <row r="259" spans="5:5" x14ac:dyDescent="0.25">
      <c r="E259" s="8"/>
    </row>
    <row r="260" spans="5:5" x14ac:dyDescent="0.25">
      <c r="E260" s="8"/>
    </row>
    <row r="261" spans="5:5" x14ac:dyDescent="0.25">
      <c r="E261" s="8"/>
    </row>
    <row r="262" spans="5:5" x14ac:dyDescent="0.25">
      <c r="E262" s="8"/>
    </row>
    <row r="263" spans="5:5" x14ac:dyDescent="0.25">
      <c r="E263" s="8"/>
    </row>
    <row r="264" spans="5:5" x14ac:dyDescent="0.25">
      <c r="E264" s="8"/>
    </row>
    <row r="265" spans="5:5" x14ac:dyDescent="0.25">
      <c r="E265" s="8"/>
    </row>
    <row r="266" spans="5:5" x14ac:dyDescent="0.25">
      <c r="E266" s="8"/>
    </row>
    <row r="267" spans="5:5" x14ac:dyDescent="0.25">
      <c r="E267" s="8"/>
    </row>
    <row r="268" spans="5:5" x14ac:dyDescent="0.25">
      <c r="E268" s="8"/>
    </row>
    <row r="269" spans="5:5" x14ac:dyDescent="0.25">
      <c r="E269" s="8"/>
    </row>
    <row r="270" spans="5:5" x14ac:dyDescent="0.25">
      <c r="E270" s="8"/>
    </row>
    <row r="271" spans="5:5" x14ac:dyDescent="0.25">
      <c r="E271" s="8"/>
    </row>
    <row r="272" spans="5:5" x14ac:dyDescent="0.25">
      <c r="E272" s="8"/>
    </row>
    <row r="273" spans="5:5" x14ac:dyDescent="0.25">
      <c r="E273" s="8"/>
    </row>
    <row r="274" spans="5:5" x14ac:dyDescent="0.25">
      <c r="E274" s="8"/>
    </row>
    <row r="275" spans="5:5" x14ac:dyDescent="0.25">
      <c r="E275" s="8"/>
    </row>
    <row r="276" spans="5:5" x14ac:dyDescent="0.25">
      <c r="E276" s="8"/>
    </row>
    <row r="277" spans="5:5" x14ac:dyDescent="0.25">
      <c r="E277" s="8"/>
    </row>
    <row r="278" spans="5:5" x14ac:dyDescent="0.25">
      <c r="E278" s="8"/>
    </row>
    <row r="279" spans="5:5" x14ac:dyDescent="0.25">
      <c r="E279" s="8"/>
    </row>
    <row r="280" spans="5:5" x14ac:dyDescent="0.25">
      <c r="E280" s="8"/>
    </row>
    <row r="281" spans="5:5" x14ac:dyDescent="0.25">
      <c r="E281" s="8"/>
    </row>
    <row r="282" spans="5:5" x14ac:dyDescent="0.25">
      <c r="E282" s="8"/>
    </row>
    <row r="283" spans="5:5" x14ac:dyDescent="0.25">
      <c r="E283" s="8"/>
    </row>
    <row r="284" spans="5:5" x14ac:dyDescent="0.25">
      <c r="E284" s="8"/>
    </row>
    <row r="285" spans="5:5" x14ac:dyDescent="0.25">
      <c r="E285" s="8"/>
    </row>
    <row r="286" spans="5:5" x14ac:dyDescent="0.25">
      <c r="E286" s="8"/>
    </row>
    <row r="287" spans="5:5" x14ac:dyDescent="0.25">
      <c r="E287" s="8"/>
    </row>
    <row r="288" spans="5:5" x14ac:dyDescent="0.25">
      <c r="E288" s="8"/>
    </row>
    <row r="289" spans="5:5" x14ac:dyDescent="0.25">
      <c r="E289" s="8"/>
    </row>
    <row r="290" spans="5:5" x14ac:dyDescent="0.25">
      <c r="E290" s="8"/>
    </row>
    <row r="291" spans="5:5" x14ac:dyDescent="0.25">
      <c r="E291" s="8"/>
    </row>
    <row r="292" spans="5:5" x14ac:dyDescent="0.25">
      <c r="E292" s="8"/>
    </row>
    <row r="293" spans="5:5" x14ac:dyDescent="0.25">
      <c r="E293" s="8"/>
    </row>
    <row r="294" spans="5:5" x14ac:dyDescent="0.25">
      <c r="E294" s="8"/>
    </row>
    <row r="295" spans="5:5" x14ac:dyDescent="0.25">
      <c r="E295" s="8"/>
    </row>
    <row r="296" spans="5:5" x14ac:dyDescent="0.25">
      <c r="E296" s="8"/>
    </row>
    <row r="297" spans="5:5" x14ac:dyDescent="0.25">
      <c r="E297" s="8"/>
    </row>
    <row r="298" spans="5:5" x14ac:dyDescent="0.25">
      <c r="E298" s="8"/>
    </row>
    <row r="299" spans="5:5" x14ac:dyDescent="0.25">
      <c r="E299" s="8"/>
    </row>
    <row r="300" spans="5:5" x14ac:dyDescent="0.25">
      <c r="E300" s="8"/>
    </row>
    <row r="301" spans="5:5" x14ac:dyDescent="0.25">
      <c r="E301" s="8"/>
    </row>
    <row r="302" spans="5:5" x14ac:dyDescent="0.25">
      <c r="E302" s="8"/>
    </row>
    <row r="303" spans="5:5" x14ac:dyDescent="0.25">
      <c r="E303" s="8"/>
    </row>
    <row r="304" spans="5:5" x14ac:dyDescent="0.25">
      <c r="E304" s="8"/>
    </row>
    <row r="305" spans="5:5" x14ac:dyDescent="0.25">
      <c r="E305" s="8"/>
    </row>
    <row r="306" spans="5:5" x14ac:dyDescent="0.25">
      <c r="E306" s="8"/>
    </row>
    <row r="307" spans="5:5" x14ac:dyDescent="0.25">
      <c r="E307" s="8"/>
    </row>
    <row r="308" spans="5:5" x14ac:dyDescent="0.25">
      <c r="E308" s="8"/>
    </row>
    <row r="309" spans="5:5" x14ac:dyDescent="0.25">
      <c r="E309" s="8"/>
    </row>
    <row r="310" spans="5:5" x14ac:dyDescent="0.25">
      <c r="E310" s="8"/>
    </row>
    <row r="311" spans="5:5" x14ac:dyDescent="0.25">
      <c r="E311" s="8"/>
    </row>
    <row r="312" spans="5:5" x14ac:dyDescent="0.25">
      <c r="E312" s="8"/>
    </row>
    <row r="313" spans="5:5" x14ac:dyDescent="0.25">
      <c r="E313" s="8"/>
    </row>
    <row r="314" spans="5:5" x14ac:dyDescent="0.25">
      <c r="E314" s="8"/>
    </row>
    <row r="315" spans="5:5" x14ac:dyDescent="0.25">
      <c r="E315" s="8"/>
    </row>
    <row r="316" spans="5:5" x14ac:dyDescent="0.25">
      <c r="E316" s="8"/>
    </row>
    <row r="317" spans="5:5" x14ac:dyDescent="0.25">
      <c r="E317" s="8"/>
    </row>
    <row r="318" spans="5:5" x14ac:dyDescent="0.25">
      <c r="E318" s="8"/>
    </row>
    <row r="319" spans="5:5" x14ac:dyDescent="0.25">
      <c r="E319" s="8"/>
    </row>
    <row r="320" spans="5:5" x14ac:dyDescent="0.25">
      <c r="E320" s="8"/>
    </row>
    <row r="321" spans="5:5" x14ac:dyDescent="0.25">
      <c r="E321" s="8"/>
    </row>
    <row r="322" spans="5:5" x14ac:dyDescent="0.25">
      <c r="E322" s="8"/>
    </row>
    <row r="323" spans="5:5" x14ac:dyDescent="0.25">
      <c r="E323" s="8"/>
    </row>
    <row r="324" spans="5:5" x14ac:dyDescent="0.25">
      <c r="E324" s="8"/>
    </row>
    <row r="325" spans="5:5" x14ac:dyDescent="0.25">
      <c r="E325" s="8"/>
    </row>
    <row r="326" spans="5:5" x14ac:dyDescent="0.25">
      <c r="E326" s="8"/>
    </row>
    <row r="327" spans="5:5" x14ac:dyDescent="0.25">
      <c r="E327" s="8"/>
    </row>
    <row r="328" spans="5:5" x14ac:dyDescent="0.25">
      <c r="E328" s="8"/>
    </row>
    <row r="329" spans="5:5" x14ac:dyDescent="0.25">
      <c r="E329" s="8"/>
    </row>
    <row r="330" spans="5:5" x14ac:dyDescent="0.25">
      <c r="E330" s="8"/>
    </row>
    <row r="331" spans="5:5" x14ac:dyDescent="0.25">
      <c r="E331" s="8"/>
    </row>
    <row r="332" spans="5:5" x14ac:dyDescent="0.25">
      <c r="E332" s="8"/>
    </row>
    <row r="333" spans="5:5" x14ac:dyDescent="0.25">
      <c r="E333" s="8"/>
    </row>
    <row r="334" spans="5:5" x14ac:dyDescent="0.25">
      <c r="E334" s="8"/>
    </row>
    <row r="335" spans="5:5" x14ac:dyDescent="0.25">
      <c r="E335" s="8"/>
    </row>
    <row r="336" spans="5:5" x14ac:dyDescent="0.25">
      <c r="E336" s="8"/>
    </row>
    <row r="337" spans="5:5" x14ac:dyDescent="0.25">
      <c r="E337" s="8"/>
    </row>
    <row r="338" spans="5:5" x14ac:dyDescent="0.25">
      <c r="E338" s="8"/>
    </row>
    <row r="339" spans="5:5" x14ac:dyDescent="0.25">
      <c r="E339" s="8"/>
    </row>
    <row r="340" spans="5:5" x14ac:dyDescent="0.25">
      <c r="E340" s="8"/>
    </row>
    <row r="341" spans="5:5" x14ac:dyDescent="0.25">
      <c r="E341" s="8"/>
    </row>
    <row r="342" spans="5:5" x14ac:dyDescent="0.25">
      <c r="E342" s="8"/>
    </row>
    <row r="343" spans="5:5" x14ac:dyDescent="0.25">
      <c r="E343" s="8"/>
    </row>
    <row r="344" spans="5:5" x14ac:dyDescent="0.25">
      <c r="E344" s="8"/>
    </row>
    <row r="345" spans="5:5" x14ac:dyDescent="0.25">
      <c r="E345" s="8"/>
    </row>
    <row r="346" spans="5:5" x14ac:dyDescent="0.25">
      <c r="E346" s="8"/>
    </row>
    <row r="347" spans="5:5" x14ac:dyDescent="0.25">
      <c r="E347" s="8"/>
    </row>
    <row r="348" spans="5:5" x14ac:dyDescent="0.25">
      <c r="E348" s="8"/>
    </row>
    <row r="349" spans="5:5" x14ac:dyDescent="0.25">
      <c r="E349" s="8"/>
    </row>
    <row r="350" spans="5:5" x14ac:dyDescent="0.25">
      <c r="E350" s="8"/>
    </row>
    <row r="351" spans="5:5" x14ac:dyDescent="0.25">
      <c r="E351" s="8"/>
    </row>
    <row r="352" spans="5:5" x14ac:dyDescent="0.25">
      <c r="E352" s="8"/>
    </row>
    <row r="353" spans="5:5" x14ac:dyDescent="0.25">
      <c r="E353" s="8"/>
    </row>
    <row r="354" spans="5:5" x14ac:dyDescent="0.25">
      <c r="E354" s="8"/>
    </row>
    <row r="355" spans="5:5" x14ac:dyDescent="0.25">
      <c r="E355" s="8"/>
    </row>
    <row r="356" spans="5:5" x14ac:dyDescent="0.25">
      <c r="E356" s="8"/>
    </row>
    <row r="357" spans="5:5" x14ac:dyDescent="0.25">
      <c r="E357" s="8"/>
    </row>
    <row r="358" spans="5:5" x14ac:dyDescent="0.25">
      <c r="E358" s="8"/>
    </row>
    <row r="359" spans="5:5" x14ac:dyDescent="0.25">
      <c r="E359" s="8"/>
    </row>
    <row r="360" spans="5:5" x14ac:dyDescent="0.25">
      <c r="E360" s="8"/>
    </row>
    <row r="361" spans="5:5" x14ac:dyDescent="0.25">
      <c r="E361" s="8"/>
    </row>
    <row r="362" spans="5:5" x14ac:dyDescent="0.25">
      <c r="E362" s="8"/>
    </row>
    <row r="363" spans="5:5" x14ac:dyDescent="0.25">
      <c r="E363" s="8"/>
    </row>
    <row r="364" spans="5:5" x14ac:dyDescent="0.25">
      <c r="E364" s="8"/>
    </row>
    <row r="365" spans="5:5" x14ac:dyDescent="0.25">
      <c r="E365" s="8"/>
    </row>
    <row r="366" spans="5:5" x14ac:dyDescent="0.25">
      <c r="E366" s="8"/>
    </row>
    <row r="367" spans="5:5" x14ac:dyDescent="0.25">
      <c r="E367" s="8"/>
    </row>
    <row r="368" spans="5:5" x14ac:dyDescent="0.25">
      <c r="E368" s="8"/>
    </row>
    <row r="369" spans="5:5" x14ac:dyDescent="0.25">
      <c r="E369" s="8"/>
    </row>
    <row r="370" spans="5:5" x14ac:dyDescent="0.25">
      <c r="E370" s="8"/>
    </row>
    <row r="371" spans="5:5" x14ac:dyDescent="0.25">
      <c r="E371" s="8"/>
    </row>
    <row r="372" spans="5:5" x14ac:dyDescent="0.25">
      <c r="E372" s="8"/>
    </row>
    <row r="373" spans="5:5" x14ac:dyDescent="0.25">
      <c r="E373" s="8"/>
    </row>
    <row r="374" spans="5:5" x14ac:dyDescent="0.25">
      <c r="E374" s="8"/>
    </row>
    <row r="375" spans="5:5" x14ac:dyDescent="0.25">
      <c r="E375" s="8"/>
    </row>
    <row r="376" spans="5:5" x14ac:dyDescent="0.25">
      <c r="E376" s="8"/>
    </row>
    <row r="377" spans="5:5" x14ac:dyDescent="0.25">
      <c r="E377" s="8"/>
    </row>
    <row r="378" spans="5:5" x14ac:dyDescent="0.25">
      <c r="E378" s="8"/>
    </row>
    <row r="379" spans="5:5" x14ac:dyDescent="0.25">
      <c r="E379" s="8"/>
    </row>
    <row r="380" spans="5:5" x14ac:dyDescent="0.25">
      <c r="E380" s="8"/>
    </row>
    <row r="381" spans="5:5" x14ac:dyDescent="0.25">
      <c r="E381" s="8"/>
    </row>
    <row r="382" spans="5:5" x14ac:dyDescent="0.25">
      <c r="E382" s="8"/>
    </row>
    <row r="383" spans="5:5" x14ac:dyDescent="0.25">
      <c r="E383" s="8"/>
    </row>
    <row r="384" spans="5:5" x14ac:dyDescent="0.25">
      <c r="E384" s="8"/>
    </row>
    <row r="385" spans="5:5" x14ac:dyDescent="0.25">
      <c r="E385" s="8"/>
    </row>
    <row r="386" spans="5:5" x14ac:dyDescent="0.25">
      <c r="E386" s="8"/>
    </row>
    <row r="387" spans="5:5" x14ac:dyDescent="0.25">
      <c r="E387" s="8"/>
    </row>
    <row r="388" spans="5:5" x14ac:dyDescent="0.25">
      <c r="E388" s="8"/>
    </row>
    <row r="389" spans="5:5" x14ac:dyDescent="0.25">
      <c r="E389" s="8"/>
    </row>
    <row r="390" spans="5:5" x14ac:dyDescent="0.25">
      <c r="E390" s="8"/>
    </row>
    <row r="391" spans="5:5" x14ac:dyDescent="0.25">
      <c r="E391" s="8"/>
    </row>
    <row r="392" spans="5:5" x14ac:dyDescent="0.25">
      <c r="E392" s="8"/>
    </row>
    <row r="393" spans="5:5" x14ac:dyDescent="0.25">
      <c r="E393" s="8"/>
    </row>
    <row r="394" spans="5:5" x14ac:dyDescent="0.25">
      <c r="E394" s="8"/>
    </row>
    <row r="395" spans="5:5" x14ac:dyDescent="0.25">
      <c r="E395" s="8"/>
    </row>
    <row r="396" spans="5:5" x14ac:dyDescent="0.25">
      <c r="E396" s="8"/>
    </row>
    <row r="397" spans="5:5" x14ac:dyDescent="0.25">
      <c r="E397" s="8"/>
    </row>
    <row r="398" spans="5:5" x14ac:dyDescent="0.25">
      <c r="E398" s="8"/>
    </row>
    <row r="399" spans="5:5" x14ac:dyDescent="0.25">
      <c r="E399" s="8"/>
    </row>
    <row r="400" spans="5:5" x14ac:dyDescent="0.25">
      <c r="E400" s="8"/>
    </row>
    <row r="401" spans="5:5" x14ac:dyDescent="0.25">
      <c r="E401" s="8"/>
    </row>
    <row r="402" spans="5:5" x14ac:dyDescent="0.25">
      <c r="E402" s="8"/>
    </row>
    <row r="403" spans="5:5" x14ac:dyDescent="0.25">
      <c r="E403" s="8"/>
    </row>
    <row r="404" spans="5:5" x14ac:dyDescent="0.25">
      <c r="E404" s="8"/>
    </row>
    <row r="405" spans="5:5" x14ac:dyDescent="0.25">
      <c r="E405" s="8"/>
    </row>
    <row r="406" spans="5:5" x14ac:dyDescent="0.25">
      <c r="E406" s="8"/>
    </row>
    <row r="407" spans="5:5" x14ac:dyDescent="0.25">
      <c r="E407" s="8"/>
    </row>
    <row r="408" spans="5:5" x14ac:dyDescent="0.25">
      <c r="E408" s="8"/>
    </row>
    <row r="409" spans="5:5" x14ac:dyDescent="0.25">
      <c r="E409" s="8"/>
    </row>
    <row r="410" spans="5:5" x14ac:dyDescent="0.25">
      <c r="E410" s="8"/>
    </row>
    <row r="411" spans="5:5" x14ac:dyDescent="0.25">
      <c r="E411" s="8"/>
    </row>
    <row r="412" spans="5:5" x14ac:dyDescent="0.25">
      <c r="E412" s="8"/>
    </row>
    <row r="413" spans="5:5" x14ac:dyDescent="0.25">
      <c r="E413" s="8"/>
    </row>
    <row r="414" spans="5:5" x14ac:dyDescent="0.25">
      <c r="E414" s="8"/>
    </row>
    <row r="415" spans="5:5" x14ac:dyDescent="0.25">
      <c r="E415" s="8"/>
    </row>
    <row r="416" spans="5:5" x14ac:dyDescent="0.25">
      <c r="E416" s="8"/>
    </row>
    <row r="417" spans="5:5" x14ac:dyDescent="0.25">
      <c r="E417" s="8"/>
    </row>
    <row r="418" spans="5:5" x14ac:dyDescent="0.25">
      <c r="E418" s="8"/>
    </row>
    <row r="419" spans="5:5" x14ac:dyDescent="0.25">
      <c r="E419" s="8"/>
    </row>
    <row r="420" spans="5:5" x14ac:dyDescent="0.25">
      <c r="E420" s="8"/>
    </row>
    <row r="421" spans="5:5" x14ac:dyDescent="0.25">
      <c r="E421" s="8"/>
    </row>
    <row r="422" spans="5:5" x14ac:dyDescent="0.25">
      <c r="E422" s="8"/>
    </row>
    <row r="423" spans="5:5" x14ac:dyDescent="0.25">
      <c r="E423" s="8"/>
    </row>
    <row r="424" spans="5:5" x14ac:dyDescent="0.25">
      <c r="E424" s="8"/>
    </row>
    <row r="425" spans="5:5" x14ac:dyDescent="0.25">
      <c r="E425" s="8"/>
    </row>
    <row r="426" spans="5:5" x14ac:dyDescent="0.25">
      <c r="E426" s="8"/>
    </row>
    <row r="427" spans="5:5" x14ac:dyDescent="0.25">
      <c r="E427" s="8"/>
    </row>
    <row r="428" spans="5:5" x14ac:dyDescent="0.25">
      <c r="E428" s="8"/>
    </row>
    <row r="429" spans="5:5" x14ac:dyDescent="0.25">
      <c r="E429" s="8"/>
    </row>
    <row r="430" spans="5:5" x14ac:dyDescent="0.25">
      <c r="E430" s="8"/>
    </row>
    <row r="431" spans="5:5" x14ac:dyDescent="0.25">
      <c r="E431" s="8"/>
    </row>
    <row r="432" spans="5:5" x14ac:dyDescent="0.25">
      <c r="E432" s="8"/>
    </row>
    <row r="433" spans="5:5" x14ac:dyDescent="0.25">
      <c r="E433" s="8"/>
    </row>
    <row r="434" spans="5:5" x14ac:dyDescent="0.25">
      <c r="E434" s="8"/>
    </row>
    <row r="435" spans="5:5" x14ac:dyDescent="0.25">
      <c r="E435" s="8"/>
    </row>
    <row r="436" spans="5:5" x14ac:dyDescent="0.25">
      <c r="E436" s="8"/>
    </row>
    <row r="437" spans="5:5" x14ac:dyDescent="0.25">
      <c r="E437" s="8"/>
    </row>
    <row r="438" spans="5:5" x14ac:dyDescent="0.25">
      <c r="E438" s="8"/>
    </row>
    <row r="439" spans="5:5" x14ac:dyDescent="0.25">
      <c r="E439" s="8"/>
    </row>
    <row r="440" spans="5:5" x14ac:dyDescent="0.25">
      <c r="E440" s="8"/>
    </row>
    <row r="441" spans="5:5" x14ac:dyDescent="0.25">
      <c r="E441" s="8"/>
    </row>
    <row r="442" spans="5:5" x14ac:dyDescent="0.25">
      <c r="E442" s="8"/>
    </row>
    <row r="443" spans="5:5" x14ac:dyDescent="0.25">
      <c r="E443" s="8"/>
    </row>
    <row r="444" spans="5:5" x14ac:dyDescent="0.25">
      <c r="E444" s="8"/>
    </row>
    <row r="445" spans="5:5" x14ac:dyDescent="0.25">
      <c r="E445" s="8"/>
    </row>
    <row r="446" spans="5:5" x14ac:dyDescent="0.25">
      <c r="E446" s="8"/>
    </row>
    <row r="447" spans="5:5" x14ac:dyDescent="0.25">
      <c r="E447" s="8"/>
    </row>
    <row r="448" spans="5:5" x14ac:dyDescent="0.25">
      <c r="E448" s="8"/>
    </row>
    <row r="449" spans="5:5" x14ac:dyDescent="0.25">
      <c r="E449" s="8"/>
    </row>
    <row r="450" spans="5:5" x14ac:dyDescent="0.25">
      <c r="E450" s="8"/>
    </row>
    <row r="451" spans="5:5" x14ac:dyDescent="0.25">
      <c r="E451" s="8"/>
    </row>
    <row r="452" spans="5:5" x14ac:dyDescent="0.25">
      <c r="E452" s="8"/>
    </row>
    <row r="453" spans="5:5" x14ac:dyDescent="0.25">
      <c r="E453" s="8"/>
    </row>
    <row r="454" spans="5:5" x14ac:dyDescent="0.25">
      <c r="E454" s="8"/>
    </row>
    <row r="455" spans="5:5" x14ac:dyDescent="0.25">
      <c r="E455" s="8"/>
    </row>
    <row r="456" spans="5:5" x14ac:dyDescent="0.25">
      <c r="E456" s="8"/>
    </row>
    <row r="457" spans="5:5" x14ac:dyDescent="0.25">
      <c r="E457" s="8"/>
    </row>
    <row r="458" spans="5:5" x14ac:dyDescent="0.25">
      <c r="E458" s="8"/>
    </row>
    <row r="459" spans="5:5" x14ac:dyDescent="0.25">
      <c r="E459" s="8"/>
    </row>
    <row r="460" spans="5:5" x14ac:dyDescent="0.25">
      <c r="E460" s="8"/>
    </row>
    <row r="461" spans="5:5" x14ac:dyDescent="0.25">
      <c r="E461" s="8"/>
    </row>
    <row r="462" spans="5:5" x14ac:dyDescent="0.25">
      <c r="E462" s="8"/>
    </row>
    <row r="463" spans="5:5" x14ac:dyDescent="0.25">
      <c r="E463" s="8"/>
    </row>
    <row r="464" spans="5:5" x14ac:dyDescent="0.25">
      <c r="E464" s="8"/>
    </row>
    <row r="465" spans="5:5" x14ac:dyDescent="0.25">
      <c r="E465" s="8"/>
    </row>
    <row r="466" spans="5:5" x14ac:dyDescent="0.25">
      <c r="E466" s="8"/>
    </row>
    <row r="467" spans="5:5" x14ac:dyDescent="0.25">
      <c r="E467" s="8"/>
    </row>
    <row r="468" spans="5:5" x14ac:dyDescent="0.25">
      <c r="E468" s="8"/>
    </row>
    <row r="469" spans="5:5" x14ac:dyDescent="0.25">
      <c r="E469" s="8"/>
    </row>
    <row r="470" spans="5:5" x14ac:dyDescent="0.25">
      <c r="E470" s="8"/>
    </row>
    <row r="471" spans="5:5" x14ac:dyDescent="0.25">
      <c r="E471" s="8"/>
    </row>
    <row r="472" spans="5:5" x14ac:dyDescent="0.25">
      <c r="E472" s="8"/>
    </row>
    <row r="473" spans="5:5" x14ac:dyDescent="0.25">
      <c r="E473" s="8"/>
    </row>
    <row r="474" spans="5:5" x14ac:dyDescent="0.25">
      <c r="E474" s="8"/>
    </row>
    <row r="475" spans="5:5" x14ac:dyDescent="0.25">
      <c r="E475" s="8"/>
    </row>
    <row r="476" spans="5:5" x14ac:dyDescent="0.25">
      <c r="E476" s="8"/>
    </row>
    <row r="477" spans="5:5" x14ac:dyDescent="0.25">
      <c r="E477" s="8"/>
    </row>
    <row r="478" spans="5:5" x14ac:dyDescent="0.25">
      <c r="E478" s="8"/>
    </row>
    <row r="479" spans="5:5" x14ac:dyDescent="0.25">
      <c r="E479" s="8"/>
    </row>
    <row r="480" spans="5:5" x14ac:dyDescent="0.25">
      <c r="E480" s="8"/>
    </row>
    <row r="481" spans="5:5" x14ac:dyDescent="0.25">
      <c r="E481" s="8"/>
    </row>
    <row r="482" spans="5:5" x14ac:dyDescent="0.25">
      <c r="E482" s="8"/>
    </row>
    <row r="483" spans="5:5" x14ac:dyDescent="0.25">
      <c r="E483" s="8"/>
    </row>
    <row r="484" spans="5:5" x14ac:dyDescent="0.25">
      <c r="E484" s="8"/>
    </row>
    <row r="485" spans="5:5" x14ac:dyDescent="0.25">
      <c r="E485" s="8"/>
    </row>
    <row r="486" spans="5:5" x14ac:dyDescent="0.25">
      <c r="E486" s="8"/>
    </row>
    <row r="487" spans="5:5" x14ac:dyDescent="0.25">
      <c r="E487" s="8"/>
    </row>
    <row r="488" spans="5:5" x14ac:dyDescent="0.25">
      <c r="E488" s="8"/>
    </row>
    <row r="489" spans="5:5" x14ac:dyDescent="0.25">
      <c r="E489" s="8"/>
    </row>
    <row r="490" spans="5:5" x14ac:dyDescent="0.25">
      <c r="E490" s="8"/>
    </row>
    <row r="491" spans="5:5" x14ac:dyDescent="0.25">
      <c r="E491" s="8"/>
    </row>
    <row r="492" spans="5:5" x14ac:dyDescent="0.25">
      <c r="E492" s="8"/>
    </row>
    <row r="493" spans="5:5" x14ac:dyDescent="0.25">
      <c r="E493" s="8"/>
    </row>
    <row r="494" spans="5:5" x14ac:dyDescent="0.25">
      <c r="E494" s="8"/>
    </row>
    <row r="495" spans="5:5" x14ac:dyDescent="0.25">
      <c r="E495" s="8"/>
    </row>
    <row r="496" spans="5:5" x14ac:dyDescent="0.25">
      <c r="E496" s="8"/>
    </row>
    <row r="497" spans="5:5" x14ac:dyDescent="0.25">
      <c r="E497" s="8"/>
    </row>
    <row r="498" spans="5:5" x14ac:dyDescent="0.25">
      <c r="E498" s="8"/>
    </row>
    <row r="499" spans="5:5" x14ac:dyDescent="0.25">
      <c r="E499" s="8"/>
    </row>
    <row r="500" spans="5:5" x14ac:dyDescent="0.25">
      <c r="E500" s="8"/>
    </row>
    <row r="501" spans="5:5" x14ac:dyDescent="0.25">
      <c r="E501" s="8"/>
    </row>
    <row r="502" spans="5:5" x14ac:dyDescent="0.25">
      <c r="E502" s="8"/>
    </row>
    <row r="503" spans="5:5" x14ac:dyDescent="0.25">
      <c r="E503" s="8"/>
    </row>
    <row r="504" spans="5:5" x14ac:dyDescent="0.25">
      <c r="E504" s="8"/>
    </row>
    <row r="505" spans="5:5" x14ac:dyDescent="0.25">
      <c r="E505" s="8"/>
    </row>
    <row r="506" spans="5:5" x14ac:dyDescent="0.25">
      <c r="E506" s="8"/>
    </row>
    <row r="507" spans="5:5" x14ac:dyDescent="0.25">
      <c r="E507" s="8"/>
    </row>
    <row r="508" spans="5:5" x14ac:dyDescent="0.25">
      <c r="E508" s="8"/>
    </row>
    <row r="509" spans="5:5" x14ac:dyDescent="0.25">
      <c r="E509" s="8"/>
    </row>
    <row r="510" spans="5:5" x14ac:dyDescent="0.25">
      <c r="E510" s="8"/>
    </row>
    <row r="511" spans="5:5" x14ac:dyDescent="0.25">
      <c r="E511" s="8"/>
    </row>
    <row r="512" spans="5:5" x14ac:dyDescent="0.25">
      <c r="E512" s="8"/>
    </row>
    <row r="513" spans="5:5" x14ac:dyDescent="0.25">
      <c r="E513" s="8"/>
    </row>
    <row r="514" spans="5:5" x14ac:dyDescent="0.25">
      <c r="E514" s="8"/>
    </row>
    <row r="515" spans="5:5" x14ac:dyDescent="0.25">
      <c r="E515" s="8"/>
    </row>
    <row r="516" spans="5:5" x14ac:dyDescent="0.25">
      <c r="E516" s="8"/>
    </row>
    <row r="517" spans="5:5" x14ac:dyDescent="0.25">
      <c r="E517" s="8"/>
    </row>
    <row r="518" spans="5:5" x14ac:dyDescent="0.25">
      <c r="E518" s="8"/>
    </row>
    <row r="519" spans="5:5" x14ac:dyDescent="0.25">
      <c r="E519" s="8"/>
    </row>
    <row r="520" spans="5:5" x14ac:dyDescent="0.25">
      <c r="E520" s="8"/>
    </row>
    <row r="521" spans="5:5" x14ac:dyDescent="0.25">
      <c r="E521" s="8"/>
    </row>
    <row r="522" spans="5:5" x14ac:dyDescent="0.25">
      <c r="E522" s="8"/>
    </row>
    <row r="523" spans="5:5" x14ac:dyDescent="0.25">
      <c r="E523" s="8"/>
    </row>
    <row r="524" spans="5:5" x14ac:dyDescent="0.25">
      <c r="E524" s="8"/>
    </row>
    <row r="525" spans="5:5" x14ac:dyDescent="0.25">
      <c r="E525" s="8"/>
    </row>
    <row r="526" spans="5:5" x14ac:dyDescent="0.25">
      <c r="E526" s="8"/>
    </row>
    <row r="527" spans="5:5" x14ac:dyDescent="0.25">
      <c r="E527" s="8"/>
    </row>
    <row r="528" spans="5:5" x14ac:dyDescent="0.25">
      <c r="E528" s="8"/>
    </row>
    <row r="529" spans="5:5" x14ac:dyDescent="0.25">
      <c r="E529" s="8"/>
    </row>
    <row r="530" spans="5:5" x14ac:dyDescent="0.25">
      <c r="E530" s="8"/>
    </row>
    <row r="531" spans="5:5" x14ac:dyDescent="0.25">
      <c r="E531" s="8"/>
    </row>
    <row r="532" spans="5:5" x14ac:dyDescent="0.25">
      <c r="E532" s="8"/>
    </row>
    <row r="533" spans="5:5" x14ac:dyDescent="0.25">
      <c r="E533" s="8"/>
    </row>
    <row r="534" spans="5:5" x14ac:dyDescent="0.25">
      <c r="E534" s="8"/>
    </row>
    <row r="535" spans="5:5" x14ac:dyDescent="0.25">
      <c r="E535" s="8"/>
    </row>
    <row r="536" spans="5:5" x14ac:dyDescent="0.25">
      <c r="E536" s="8"/>
    </row>
    <row r="537" spans="5:5" x14ac:dyDescent="0.25">
      <c r="E537" s="8"/>
    </row>
    <row r="538" spans="5:5" x14ac:dyDescent="0.25">
      <c r="E538" s="8"/>
    </row>
    <row r="539" spans="5:5" x14ac:dyDescent="0.25">
      <c r="E539" s="8"/>
    </row>
    <row r="540" spans="5:5" x14ac:dyDescent="0.25">
      <c r="E540" s="8"/>
    </row>
    <row r="541" spans="5:5" x14ac:dyDescent="0.25">
      <c r="E541" s="8"/>
    </row>
    <row r="542" spans="5:5" x14ac:dyDescent="0.25">
      <c r="E542" s="8"/>
    </row>
    <row r="543" spans="5:5" x14ac:dyDescent="0.25">
      <c r="E543" s="8"/>
    </row>
    <row r="544" spans="5:5" x14ac:dyDescent="0.25">
      <c r="E544" s="8"/>
    </row>
    <row r="545" spans="5:5" x14ac:dyDescent="0.25">
      <c r="E545" s="8"/>
    </row>
    <row r="546" spans="5:5" x14ac:dyDescent="0.25">
      <c r="E546" s="8"/>
    </row>
    <row r="547" spans="5:5" x14ac:dyDescent="0.25">
      <c r="E547" s="8"/>
    </row>
    <row r="548" spans="5:5" x14ac:dyDescent="0.25">
      <c r="E548" s="8"/>
    </row>
    <row r="549" spans="5:5" x14ac:dyDescent="0.25">
      <c r="E549" s="8"/>
    </row>
    <row r="550" spans="5:5" x14ac:dyDescent="0.25">
      <c r="E550" s="8"/>
    </row>
    <row r="551" spans="5:5" x14ac:dyDescent="0.25">
      <c r="E551" s="8"/>
    </row>
    <row r="552" spans="5:5" x14ac:dyDescent="0.25">
      <c r="E552" s="8"/>
    </row>
    <row r="553" spans="5:5" x14ac:dyDescent="0.25">
      <c r="E553" s="8"/>
    </row>
    <row r="554" spans="5:5" x14ac:dyDescent="0.25">
      <c r="E554" s="8"/>
    </row>
    <row r="555" spans="5:5" x14ac:dyDescent="0.25">
      <c r="E555" s="8"/>
    </row>
    <row r="556" spans="5:5" x14ac:dyDescent="0.25">
      <c r="E556" s="8"/>
    </row>
    <row r="557" spans="5:5" x14ac:dyDescent="0.25">
      <c r="E557" s="8"/>
    </row>
    <row r="558" spans="5:5" x14ac:dyDescent="0.25">
      <c r="E558" s="8"/>
    </row>
    <row r="559" spans="5:5" x14ac:dyDescent="0.25">
      <c r="E559" s="8"/>
    </row>
    <row r="560" spans="5:5" x14ac:dyDescent="0.25">
      <c r="E560" s="8"/>
    </row>
    <row r="561" spans="5:5" x14ac:dyDescent="0.25">
      <c r="E561" s="8"/>
    </row>
    <row r="562" spans="5:5" x14ac:dyDescent="0.25">
      <c r="E562" s="8"/>
    </row>
    <row r="563" spans="5:5" x14ac:dyDescent="0.25">
      <c r="E563" s="8"/>
    </row>
    <row r="564" spans="5:5" x14ac:dyDescent="0.25">
      <c r="E564" s="8"/>
    </row>
    <row r="565" spans="5:5" x14ac:dyDescent="0.25">
      <c r="E565" s="8"/>
    </row>
    <row r="566" spans="5:5" x14ac:dyDescent="0.25">
      <c r="E566" s="8"/>
    </row>
    <row r="567" spans="5:5" x14ac:dyDescent="0.25">
      <c r="E567" s="8"/>
    </row>
    <row r="568" spans="5:5" x14ac:dyDescent="0.25">
      <c r="E568" s="8"/>
    </row>
    <row r="569" spans="5:5" x14ac:dyDescent="0.25">
      <c r="E569" s="8"/>
    </row>
    <row r="570" spans="5:5" x14ac:dyDescent="0.25">
      <c r="E570" s="8"/>
    </row>
    <row r="571" spans="5:5" x14ac:dyDescent="0.25">
      <c r="E571" s="8"/>
    </row>
    <row r="572" spans="5:5" x14ac:dyDescent="0.25">
      <c r="E572" s="8"/>
    </row>
    <row r="573" spans="5:5" x14ac:dyDescent="0.25">
      <c r="E573" s="8"/>
    </row>
    <row r="574" spans="5:5" x14ac:dyDescent="0.25">
      <c r="E574" s="8"/>
    </row>
    <row r="575" spans="5:5" x14ac:dyDescent="0.25">
      <c r="E575" s="8"/>
    </row>
    <row r="576" spans="5:5" x14ac:dyDescent="0.25">
      <c r="E576" s="8"/>
    </row>
    <row r="577" spans="5:5" x14ac:dyDescent="0.25">
      <c r="E577" s="8"/>
    </row>
    <row r="578" spans="5:5" x14ac:dyDescent="0.25">
      <c r="E578" s="8"/>
    </row>
    <row r="579" spans="5:5" x14ac:dyDescent="0.25">
      <c r="E579" s="8"/>
    </row>
    <row r="580" spans="5:5" x14ac:dyDescent="0.25">
      <c r="E580" s="8"/>
    </row>
    <row r="581" spans="5:5" x14ac:dyDescent="0.25">
      <c r="E581" s="8"/>
    </row>
    <row r="582" spans="5:5" x14ac:dyDescent="0.25">
      <c r="E582" s="8"/>
    </row>
    <row r="583" spans="5:5" x14ac:dyDescent="0.25">
      <c r="E583" s="8"/>
    </row>
    <row r="584" spans="5:5" x14ac:dyDescent="0.25">
      <c r="E584" s="8"/>
    </row>
    <row r="585" spans="5:5" x14ac:dyDescent="0.25">
      <c r="E585" s="8"/>
    </row>
    <row r="586" spans="5:5" x14ac:dyDescent="0.25">
      <c r="E586" s="8"/>
    </row>
    <row r="587" spans="5:5" x14ac:dyDescent="0.25">
      <c r="E587" s="8"/>
    </row>
    <row r="588" spans="5:5" x14ac:dyDescent="0.25">
      <c r="E588" s="8"/>
    </row>
    <row r="589" spans="5:5" x14ac:dyDescent="0.25">
      <c r="E589" s="8"/>
    </row>
    <row r="590" spans="5:5" x14ac:dyDescent="0.25">
      <c r="E590" s="8"/>
    </row>
    <row r="591" spans="5:5" x14ac:dyDescent="0.25">
      <c r="E591" s="8"/>
    </row>
    <row r="592" spans="5:5" x14ac:dyDescent="0.25">
      <c r="E592" s="8"/>
    </row>
    <row r="593" spans="5:5" x14ac:dyDescent="0.25">
      <c r="E593" s="8"/>
    </row>
    <row r="594" spans="5:5" x14ac:dyDescent="0.25">
      <c r="E594" s="8"/>
    </row>
    <row r="595" spans="5:5" x14ac:dyDescent="0.25">
      <c r="E595" s="8"/>
    </row>
    <row r="596" spans="5:5" x14ac:dyDescent="0.25">
      <c r="E596" s="8"/>
    </row>
    <row r="597" spans="5:5" x14ac:dyDescent="0.25">
      <c r="E597" s="8"/>
    </row>
    <row r="598" spans="5:5" x14ac:dyDescent="0.25">
      <c r="E598" s="8"/>
    </row>
    <row r="599" spans="5:5" x14ac:dyDescent="0.25">
      <c r="E599" s="8"/>
    </row>
    <row r="600" spans="5:5" x14ac:dyDescent="0.25">
      <c r="E600" s="8"/>
    </row>
    <row r="601" spans="5:5" x14ac:dyDescent="0.25">
      <c r="E601" s="8"/>
    </row>
    <row r="602" spans="5:5" x14ac:dyDescent="0.25">
      <c r="E602" s="8"/>
    </row>
    <row r="603" spans="5:5" x14ac:dyDescent="0.25">
      <c r="E603" s="8"/>
    </row>
    <row r="604" spans="5:5" x14ac:dyDescent="0.25">
      <c r="E604" s="8"/>
    </row>
    <row r="605" spans="5:5" x14ac:dyDescent="0.25">
      <c r="E605" s="8"/>
    </row>
    <row r="606" spans="5:5" x14ac:dyDescent="0.25">
      <c r="E606" s="8"/>
    </row>
    <row r="607" spans="5:5" x14ac:dyDescent="0.25">
      <c r="E607" s="8"/>
    </row>
    <row r="608" spans="5:5" x14ac:dyDescent="0.25">
      <c r="E608" s="8"/>
    </row>
    <row r="609" spans="5:5" x14ac:dyDescent="0.25">
      <c r="E609" s="8"/>
    </row>
    <row r="610" spans="5:5" x14ac:dyDescent="0.25">
      <c r="E610" s="8"/>
    </row>
    <row r="611" spans="5:5" x14ac:dyDescent="0.25">
      <c r="E611" s="8"/>
    </row>
    <row r="612" spans="5:5" x14ac:dyDescent="0.25">
      <c r="E612" s="8"/>
    </row>
    <row r="613" spans="5:5" x14ac:dyDescent="0.25">
      <c r="E613" s="8"/>
    </row>
    <row r="614" spans="5:5" x14ac:dyDescent="0.25">
      <c r="E614" s="8"/>
    </row>
    <row r="615" spans="5:5" x14ac:dyDescent="0.25">
      <c r="E615" s="8"/>
    </row>
    <row r="616" spans="5:5" x14ac:dyDescent="0.25">
      <c r="E616" s="8"/>
    </row>
    <row r="617" spans="5:5" x14ac:dyDescent="0.25">
      <c r="E617" s="8"/>
    </row>
    <row r="618" spans="5:5" x14ac:dyDescent="0.25">
      <c r="E618" s="8"/>
    </row>
    <row r="619" spans="5:5" x14ac:dyDescent="0.25">
      <c r="E619" s="8"/>
    </row>
    <row r="620" spans="5:5" x14ac:dyDescent="0.25">
      <c r="E620" s="8"/>
    </row>
    <row r="621" spans="5:5" x14ac:dyDescent="0.25">
      <c r="E621" s="8"/>
    </row>
    <row r="622" spans="5:5" x14ac:dyDescent="0.25">
      <c r="E622" s="8"/>
    </row>
    <row r="623" spans="5:5" x14ac:dyDescent="0.25">
      <c r="E623" s="8"/>
    </row>
    <row r="624" spans="5:5" x14ac:dyDescent="0.25">
      <c r="E624" s="8"/>
    </row>
    <row r="625" spans="5:5" x14ac:dyDescent="0.25">
      <c r="E625" s="8"/>
    </row>
    <row r="626" spans="5:5" x14ac:dyDescent="0.25">
      <c r="E626" s="8"/>
    </row>
    <row r="627" spans="5:5" x14ac:dyDescent="0.25">
      <c r="E627" s="8"/>
    </row>
    <row r="628" spans="5:5" x14ac:dyDescent="0.25">
      <c r="E628" s="8"/>
    </row>
    <row r="629" spans="5:5" x14ac:dyDescent="0.25">
      <c r="E629" s="8"/>
    </row>
    <row r="630" spans="5:5" x14ac:dyDescent="0.25">
      <c r="E630" s="8"/>
    </row>
    <row r="631" spans="5:5" x14ac:dyDescent="0.25">
      <c r="E631" s="8"/>
    </row>
    <row r="632" spans="5:5" x14ac:dyDescent="0.25">
      <c r="E632" s="8"/>
    </row>
    <row r="633" spans="5:5" x14ac:dyDescent="0.25">
      <c r="E633" s="8"/>
    </row>
    <row r="634" spans="5:5" x14ac:dyDescent="0.25">
      <c r="E634" s="8"/>
    </row>
    <row r="635" spans="5:5" x14ac:dyDescent="0.25">
      <c r="E635" s="8"/>
    </row>
    <row r="636" spans="5:5" x14ac:dyDescent="0.25">
      <c r="E636" s="8"/>
    </row>
    <row r="637" spans="5:5" x14ac:dyDescent="0.25">
      <c r="E637" s="8"/>
    </row>
    <row r="638" spans="5:5" x14ac:dyDescent="0.25">
      <c r="E638" s="8"/>
    </row>
    <row r="639" spans="5:5" x14ac:dyDescent="0.25">
      <c r="E639" s="8"/>
    </row>
    <row r="640" spans="5:5" x14ac:dyDescent="0.25">
      <c r="E640" s="8"/>
    </row>
    <row r="641" spans="5:5" x14ac:dyDescent="0.25">
      <c r="E641" s="8"/>
    </row>
    <row r="642" spans="5:5" x14ac:dyDescent="0.25">
      <c r="E642" s="8"/>
    </row>
    <row r="643" spans="5:5" x14ac:dyDescent="0.25">
      <c r="E643" s="8"/>
    </row>
    <row r="644" spans="5:5" x14ac:dyDescent="0.25">
      <c r="E644" s="8"/>
    </row>
    <row r="645" spans="5:5" x14ac:dyDescent="0.25">
      <c r="E645" s="8"/>
    </row>
    <row r="646" spans="5:5" x14ac:dyDescent="0.25">
      <c r="E646" s="8"/>
    </row>
    <row r="647" spans="5:5" x14ac:dyDescent="0.25">
      <c r="E647" s="8"/>
    </row>
    <row r="648" spans="5:5" x14ac:dyDescent="0.25">
      <c r="E648" s="8"/>
    </row>
    <row r="649" spans="5:5" x14ac:dyDescent="0.25">
      <c r="E649" s="8"/>
    </row>
    <row r="650" spans="5:5" x14ac:dyDescent="0.25">
      <c r="E650" s="8"/>
    </row>
    <row r="651" spans="5:5" x14ac:dyDescent="0.25">
      <c r="E651" s="8"/>
    </row>
    <row r="652" spans="5:5" x14ac:dyDescent="0.25">
      <c r="E652" s="8"/>
    </row>
    <row r="653" spans="5:5" x14ac:dyDescent="0.25">
      <c r="E653" s="8"/>
    </row>
    <row r="654" spans="5:5" x14ac:dyDescent="0.25">
      <c r="E654" s="8"/>
    </row>
    <row r="655" spans="5:5" x14ac:dyDescent="0.25">
      <c r="E655" s="8"/>
    </row>
    <row r="656" spans="5:5" x14ac:dyDescent="0.25">
      <c r="E656" s="8"/>
    </row>
    <row r="657" spans="5:5" x14ac:dyDescent="0.25">
      <c r="E657" s="8"/>
    </row>
    <row r="658" spans="5:5" x14ac:dyDescent="0.25">
      <c r="E658" s="8"/>
    </row>
    <row r="659" spans="5:5" x14ac:dyDescent="0.25">
      <c r="E659" s="8"/>
    </row>
    <row r="660" spans="5:5" x14ac:dyDescent="0.25">
      <c r="E660" s="8"/>
    </row>
    <row r="661" spans="5:5" x14ac:dyDescent="0.25">
      <c r="E661" s="8"/>
    </row>
    <row r="662" spans="5:5" x14ac:dyDescent="0.25">
      <c r="E662" s="8"/>
    </row>
    <row r="663" spans="5:5" x14ac:dyDescent="0.25">
      <c r="E663" s="8"/>
    </row>
    <row r="664" spans="5:5" x14ac:dyDescent="0.25">
      <c r="E664" s="8"/>
    </row>
    <row r="665" spans="5:5" x14ac:dyDescent="0.25">
      <c r="E665" s="8"/>
    </row>
    <row r="666" spans="5:5" x14ac:dyDescent="0.25">
      <c r="E666" s="8"/>
    </row>
    <row r="667" spans="5:5" x14ac:dyDescent="0.25">
      <c r="E667" s="8"/>
    </row>
    <row r="668" spans="5:5" x14ac:dyDescent="0.25">
      <c r="E668" s="8"/>
    </row>
    <row r="669" spans="5:5" x14ac:dyDescent="0.25">
      <c r="E669" s="8"/>
    </row>
    <row r="670" spans="5:5" x14ac:dyDescent="0.25">
      <c r="E670" s="8"/>
    </row>
    <row r="671" spans="5:5" x14ac:dyDescent="0.25">
      <c r="E671" s="8"/>
    </row>
    <row r="672" spans="5:5" x14ac:dyDescent="0.25">
      <c r="E672" s="8"/>
    </row>
    <row r="673" spans="5:5" x14ac:dyDescent="0.25">
      <c r="E673" s="8"/>
    </row>
    <row r="674" spans="5:5" x14ac:dyDescent="0.25">
      <c r="E674" s="8"/>
    </row>
    <row r="675" spans="5:5" x14ac:dyDescent="0.25">
      <c r="E675" s="8"/>
    </row>
    <row r="676" spans="5:5" x14ac:dyDescent="0.25">
      <c r="E676" s="8"/>
    </row>
    <row r="677" spans="5:5" x14ac:dyDescent="0.25">
      <c r="E677" s="8"/>
    </row>
    <row r="678" spans="5:5" x14ac:dyDescent="0.25">
      <c r="E678" s="8"/>
    </row>
    <row r="679" spans="5:5" x14ac:dyDescent="0.25">
      <c r="E679" s="8"/>
    </row>
    <row r="680" spans="5:5" x14ac:dyDescent="0.25">
      <c r="E680" s="8"/>
    </row>
    <row r="681" spans="5:5" x14ac:dyDescent="0.25">
      <c r="E681" s="8"/>
    </row>
    <row r="682" spans="5:5" x14ac:dyDescent="0.25">
      <c r="E682" s="8"/>
    </row>
    <row r="683" spans="5:5" x14ac:dyDescent="0.25">
      <c r="E683" s="8"/>
    </row>
    <row r="684" spans="5:5" x14ac:dyDescent="0.25">
      <c r="E684" s="8"/>
    </row>
    <row r="685" spans="5:5" x14ac:dyDescent="0.25">
      <c r="E685" s="8"/>
    </row>
    <row r="686" spans="5:5" x14ac:dyDescent="0.25">
      <c r="E686" s="8"/>
    </row>
    <row r="687" spans="5:5" x14ac:dyDescent="0.25">
      <c r="E687" s="8"/>
    </row>
    <row r="688" spans="5:5" x14ac:dyDescent="0.25">
      <c r="E688" s="8"/>
    </row>
    <row r="689" spans="5:5" x14ac:dyDescent="0.25">
      <c r="E689" s="8"/>
    </row>
    <row r="690" spans="5:5" x14ac:dyDescent="0.25">
      <c r="E690" s="8"/>
    </row>
    <row r="691" spans="5:5" x14ac:dyDescent="0.25">
      <c r="E691" s="8"/>
    </row>
    <row r="692" spans="5:5" x14ac:dyDescent="0.25">
      <c r="E692" s="8"/>
    </row>
    <row r="693" spans="5:5" x14ac:dyDescent="0.25">
      <c r="E693" s="8"/>
    </row>
    <row r="694" spans="5:5" x14ac:dyDescent="0.25">
      <c r="E694" s="8"/>
    </row>
    <row r="695" spans="5:5" x14ac:dyDescent="0.25">
      <c r="E695" s="8"/>
    </row>
    <row r="696" spans="5:5" x14ac:dyDescent="0.25">
      <c r="E696" s="8"/>
    </row>
    <row r="697" spans="5:5" x14ac:dyDescent="0.25">
      <c r="E697" s="8"/>
    </row>
    <row r="698" spans="5:5" x14ac:dyDescent="0.25">
      <c r="E698" s="8"/>
    </row>
    <row r="699" spans="5:5" x14ac:dyDescent="0.25">
      <c r="E699" s="8"/>
    </row>
    <row r="700" spans="5:5" x14ac:dyDescent="0.25">
      <c r="E700" s="8"/>
    </row>
    <row r="701" spans="5:5" x14ac:dyDescent="0.25">
      <c r="E701" s="8"/>
    </row>
    <row r="702" spans="5:5" x14ac:dyDescent="0.25">
      <c r="E702" s="8"/>
    </row>
    <row r="703" spans="5:5" x14ac:dyDescent="0.25">
      <c r="E703" s="8"/>
    </row>
    <row r="704" spans="5: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row r="730" spans="5:5" x14ac:dyDescent="0.25">
      <c r="E730" s="8"/>
    </row>
    <row r="731" spans="5:5" x14ac:dyDescent="0.25">
      <c r="E731" s="8"/>
    </row>
    <row r="732" spans="5:5" x14ac:dyDescent="0.25">
      <c r="E732" s="8"/>
    </row>
    <row r="733" spans="5:5" x14ac:dyDescent="0.25">
      <c r="E733" s="8"/>
    </row>
    <row r="734" spans="5:5" x14ac:dyDescent="0.25">
      <c r="E734" s="8"/>
    </row>
    <row r="735" spans="5:5" x14ac:dyDescent="0.25">
      <c r="E735" s="8"/>
    </row>
    <row r="736" spans="5:5" x14ac:dyDescent="0.25">
      <c r="E736" s="8"/>
    </row>
    <row r="737" spans="5:5" x14ac:dyDescent="0.25">
      <c r="E737" s="8"/>
    </row>
    <row r="738" spans="5:5" x14ac:dyDescent="0.25">
      <c r="E738" s="8"/>
    </row>
    <row r="739" spans="5:5" x14ac:dyDescent="0.25">
      <c r="E739" s="8"/>
    </row>
    <row r="740" spans="5:5" x14ac:dyDescent="0.25">
      <c r="E740" s="8"/>
    </row>
    <row r="741" spans="5:5" x14ac:dyDescent="0.25">
      <c r="E741" s="8"/>
    </row>
    <row r="742" spans="5:5" x14ac:dyDescent="0.25">
      <c r="E742" s="8"/>
    </row>
    <row r="743" spans="5:5" x14ac:dyDescent="0.25">
      <c r="E743" s="8"/>
    </row>
    <row r="744" spans="5:5" x14ac:dyDescent="0.25">
      <c r="E744" s="8"/>
    </row>
    <row r="745" spans="5:5" x14ac:dyDescent="0.25">
      <c r="E745" s="8"/>
    </row>
    <row r="746" spans="5:5" x14ac:dyDescent="0.25">
      <c r="E746" s="8"/>
    </row>
    <row r="747" spans="5:5" x14ac:dyDescent="0.25">
      <c r="E747" s="8"/>
    </row>
    <row r="748" spans="5:5" x14ac:dyDescent="0.25">
      <c r="E748" s="8"/>
    </row>
    <row r="749" spans="5:5" x14ac:dyDescent="0.25">
      <c r="E749" s="8"/>
    </row>
    <row r="750" spans="5:5" x14ac:dyDescent="0.25">
      <c r="E750" s="8"/>
    </row>
    <row r="751" spans="5:5" x14ac:dyDescent="0.25">
      <c r="E751" s="8"/>
    </row>
    <row r="752" spans="5:5" x14ac:dyDescent="0.25">
      <c r="E752" s="8"/>
    </row>
    <row r="753" spans="5:5" x14ac:dyDescent="0.25">
      <c r="E753" s="8"/>
    </row>
    <row r="754" spans="5:5" x14ac:dyDescent="0.25">
      <c r="E754" s="8"/>
    </row>
    <row r="755" spans="5:5" x14ac:dyDescent="0.25">
      <c r="E755" s="8"/>
    </row>
    <row r="756" spans="5:5" x14ac:dyDescent="0.25">
      <c r="E756" s="8"/>
    </row>
    <row r="757" spans="5:5" x14ac:dyDescent="0.25">
      <c r="E757" s="8"/>
    </row>
    <row r="758" spans="5:5" x14ac:dyDescent="0.25">
      <c r="E758" s="8"/>
    </row>
    <row r="759" spans="5:5" x14ac:dyDescent="0.25">
      <c r="E759" s="8"/>
    </row>
    <row r="760" spans="5:5" x14ac:dyDescent="0.25">
      <c r="E760" s="8"/>
    </row>
    <row r="761" spans="5:5" x14ac:dyDescent="0.25">
      <c r="E761" s="8"/>
    </row>
    <row r="762" spans="5:5" x14ac:dyDescent="0.25">
      <c r="E762" s="8"/>
    </row>
    <row r="763" spans="5:5" x14ac:dyDescent="0.25">
      <c r="E763" s="8"/>
    </row>
    <row r="764" spans="5:5" x14ac:dyDescent="0.25">
      <c r="E764" s="8"/>
    </row>
    <row r="765" spans="5:5" x14ac:dyDescent="0.25">
      <c r="E765" s="8"/>
    </row>
    <row r="766" spans="5:5" x14ac:dyDescent="0.25">
      <c r="E766" s="8"/>
    </row>
    <row r="767" spans="5:5" x14ac:dyDescent="0.25">
      <c r="E767" s="8"/>
    </row>
    <row r="768" spans="5:5" x14ac:dyDescent="0.25">
      <c r="E768" s="8"/>
    </row>
    <row r="769" spans="5:5" x14ac:dyDescent="0.25">
      <c r="E769" s="8"/>
    </row>
    <row r="770" spans="5:5" x14ac:dyDescent="0.25">
      <c r="E770" s="8"/>
    </row>
    <row r="771" spans="5:5" x14ac:dyDescent="0.25">
      <c r="E771" s="8"/>
    </row>
    <row r="772" spans="5:5" x14ac:dyDescent="0.25">
      <c r="E772" s="8"/>
    </row>
    <row r="773" spans="5:5" x14ac:dyDescent="0.25">
      <c r="E773" s="8"/>
    </row>
    <row r="774" spans="5:5" x14ac:dyDescent="0.25">
      <c r="E774" s="8"/>
    </row>
    <row r="775" spans="5:5" x14ac:dyDescent="0.25">
      <c r="E775" s="8"/>
    </row>
    <row r="776" spans="5:5" x14ac:dyDescent="0.25">
      <c r="E776" s="8"/>
    </row>
    <row r="777" spans="5:5" x14ac:dyDescent="0.25">
      <c r="E777" s="8"/>
    </row>
    <row r="778" spans="5:5" x14ac:dyDescent="0.25">
      <c r="E778" s="8"/>
    </row>
    <row r="779" spans="5:5" x14ac:dyDescent="0.25">
      <c r="E779" s="8"/>
    </row>
    <row r="780" spans="5:5" x14ac:dyDescent="0.25">
      <c r="E780" s="8"/>
    </row>
    <row r="781" spans="5:5" x14ac:dyDescent="0.25">
      <c r="E781" s="8"/>
    </row>
    <row r="782" spans="5:5" x14ac:dyDescent="0.25">
      <c r="E782" s="8"/>
    </row>
    <row r="783" spans="5:5" x14ac:dyDescent="0.25">
      <c r="E783" s="8"/>
    </row>
    <row r="784" spans="5:5" x14ac:dyDescent="0.25">
      <c r="E784" s="8"/>
    </row>
    <row r="785" spans="5:5" x14ac:dyDescent="0.25">
      <c r="E785" s="8"/>
    </row>
    <row r="786" spans="5:5" x14ac:dyDescent="0.25">
      <c r="E786" s="8"/>
    </row>
    <row r="787" spans="5:5" x14ac:dyDescent="0.25">
      <c r="E787" s="8"/>
    </row>
    <row r="788" spans="5:5" x14ac:dyDescent="0.25">
      <c r="E788" s="8"/>
    </row>
    <row r="789" spans="5:5" x14ac:dyDescent="0.25">
      <c r="E789" s="8"/>
    </row>
    <row r="790" spans="5:5" x14ac:dyDescent="0.25">
      <c r="E790" s="8"/>
    </row>
    <row r="791" spans="5:5" x14ac:dyDescent="0.25">
      <c r="E791" s="8"/>
    </row>
    <row r="792" spans="5:5" x14ac:dyDescent="0.25">
      <c r="E792" s="8"/>
    </row>
    <row r="793" spans="5:5" x14ac:dyDescent="0.25">
      <c r="E793" s="8"/>
    </row>
    <row r="794" spans="5:5" x14ac:dyDescent="0.25">
      <c r="E794" s="8"/>
    </row>
    <row r="795" spans="5:5" x14ac:dyDescent="0.25">
      <c r="E795" s="8"/>
    </row>
    <row r="796" spans="5:5" x14ac:dyDescent="0.25">
      <c r="E796" s="8"/>
    </row>
    <row r="797" spans="5:5" x14ac:dyDescent="0.25">
      <c r="E797" s="8"/>
    </row>
    <row r="798" spans="5:5" x14ac:dyDescent="0.25">
      <c r="E798" s="8"/>
    </row>
    <row r="799" spans="5:5" x14ac:dyDescent="0.25">
      <c r="E799" s="8"/>
    </row>
    <row r="800" spans="5:5" x14ac:dyDescent="0.25">
      <c r="E800" s="8"/>
    </row>
    <row r="801" spans="5:5" x14ac:dyDescent="0.25">
      <c r="E801" s="8"/>
    </row>
    <row r="802" spans="5:5" x14ac:dyDescent="0.25">
      <c r="E802" s="8"/>
    </row>
    <row r="803" spans="5:5" x14ac:dyDescent="0.25">
      <c r="E803" s="8"/>
    </row>
    <row r="804" spans="5:5" x14ac:dyDescent="0.25">
      <c r="E804" s="8"/>
    </row>
    <row r="805" spans="5:5" x14ac:dyDescent="0.25">
      <c r="E805" s="8"/>
    </row>
    <row r="806" spans="5:5" x14ac:dyDescent="0.25">
      <c r="E806" s="8"/>
    </row>
    <row r="807" spans="5:5" x14ac:dyDescent="0.25">
      <c r="E807" s="8"/>
    </row>
    <row r="808" spans="5:5" x14ac:dyDescent="0.25">
      <c r="E808" s="8"/>
    </row>
    <row r="809" spans="5:5" x14ac:dyDescent="0.25">
      <c r="E809" s="8"/>
    </row>
    <row r="810" spans="5:5" x14ac:dyDescent="0.25">
      <c r="E810" s="8"/>
    </row>
    <row r="811" spans="5:5" x14ac:dyDescent="0.25">
      <c r="E811" s="8"/>
    </row>
    <row r="812" spans="5:5" x14ac:dyDescent="0.25">
      <c r="E812" s="8"/>
    </row>
    <row r="813" spans="5:5" x14ac:dyDescent="0.25">
      <c r="E813" s="8"/>
    </row>
    <row r="814" spans="5:5" x14ac:dyDescent="0.25">
      <c r="E814" s="8"/>
    </row>
    <row r="815" spans="5:5" x14ac:dyDescent="0.25">
      <c r="E815" s="8"/>
    </row>
    <row r="816" spans="5:5" x14ac:dyDescent="0.25">
      <c r="E816" s="8"/>
    </row>
    <row r="817" spans="5:5" x14ac:dyDescent="0.25">
      <c r="E817" s="8"/>
    </row>
    <row r="818" spans="5:5" x14ac:dyDescent="0.25">
      <c r="E818" s="8"/>
    </row>
    <row r="819" spans="5:5" x14ac:dyDescent="0.25">
      <c r="E819" s="8"/>
    </row>
    <row r="820" spans="5:5" x14ac:dyDescent="0.25">
      <c r="E820" s="8"/>
    </row>
    <row r="821" spans="5:5" x14ac:dyDescent="0.25">
      <c r="E821" s="8"/>
    </row>
    <row r="822" spans="5:5" x14ac:dyDescent="0.25">
      <c r="E822" s="8"/>
    </row>
    <row r="823" spans="5:5" x14ac:dyDescent="0.25">
      <c r="E823" s="8"/>
    </row>
    <row r="824" spans="5:5" x14ac:dyDescent="0.25">
      <c r="E824" s="8"/>
    </row>
    <row r="825" spans="5:5" x14ac:dyDescent="0.25">
      <c r="E825" s="8"/>
    </row>
    <row r="826" spans="5:5" x14ac:dyDescent="0.25">
      <c r="E826" s="8"/>
    </row>
    <row r="827" spans="5:5" x14ac:dyDescent="0.25">
      <c r="E827" s="8"/>
    </row>
    <row r="828" spans="5:5" x14ac:dyDescent="0.25">
      <c r="E828" s="8"/>
    </row>
    <row r="829" spans="5:5" x14ac:dyDescent="0.25">
      <c r="E829" s="8"/>
    </row>
    <row r="830" spans="5:5" x14ac:dyDescent="0.25">
      <c r="E830" s="8"/>
    </row>
    <row r="831" spans="5:5" x14ac:dyDescent="0.25">
      <c r="E831" s="8"/>
    </row>
    <row r="832" spans="5:5" x14ac:dyDescent="0.25">
      <c r="E832" s="8"/>
    </row>
    <row r="833" spans="5:5" x14ac:dyDescent="0.25">
      <c r="E833" s="8"/>
    </row>
    <row r="834" spans="5:5" x14ac:dyDescent="0.25">
      <c r="E834" s="8"/>
    </row>
    <row r="835" spans="5:5" x14ac:dyDescent="0.25">
      <c r="E835" s="8"/>
    </row>
    <row r="836" spans="5:5" x14ac:dyDescent="0.25">
      <c r="E836" s="8"/>
    </row>
    <row r="837" spans="5:5" x14ac:dyDescent="0.25">
      <c r="E837" s="8"/>
    </row>
    <row r="838" spans="5:5" x14ac:dyDescent="0.25">
      <c r="E838" s="8"/>
    </row>
    <row r="839" spans="5:5" x14ac:dyDescent="0.25">
      <c r="E839" s="8"/>
    </row>
    <row r="840" spans="5:5" x14ac:dyDescent="0.25">
      <c r="E840" s="8"/>
    </row>
    <row r="841" spans="5:5" x14ac:dyDescent="0.25">
      <c r="E841" s="8"/>
    </row>
    <row r="842" spans="5:5" x14ac:dyDescent="0.25">
      <c r="E842" s="8"/>
    </row>
    <row r="843" spans="5:5" x14ac:dyDescent="0.25">
      <c r="E843" s="8"/>
    </row>
    <row r="844" spans="5:5" x14ac:dyDescent="0.25">
      <c r="E844" s="8"/>
    </row>
    <row r="845" spans="5:5" x14ac:dyDescent="0.25">
      <c r="E845" s="8"/>
    </row>
    <row r="846" spans="5:5" x14ac:dyDescent="0.25">
      <c r="E846" s="8"/>
    </row>
    <row r="847" spans="5:5" x14ac:dyDescent="0.25">
      <c r="E847" s="8"/>
    </row>
    <row r="848" spans="5:5" x14ac:dyDescent="0.25">
      <c r="E848" s="8"/>
    </row>
    <row r="849" spans="5:5" x14ac:dyDescent="0.25">
      <c r="E849" s="8"/>
    </row>
    <row r="850" spans="5:5" x14ac:dyDescent="0.25">
      <c r="E850" s="8"/>
    </row>
    <row r="851" spans="5:5" x14ac:dyDescent="0.25">
      <c r="E851" s="8"/>
    </row>
    <row r="852" spans="5:5" x14ac:dyDescent="0.25">
      <c r="E852" s="8"/>
    </row>
    <row r="853" spans="5:5" x14ac:dyDescent="0.25">
      <c r="E853" s="8"/>
    </row>
    <row r="854" spans="5:5" x14ac:dyDescent="0.25">
      <c r="E854" s="8"/>
    </row>
    <row r="855" spans="5:5" x14ac:dyDescent="0.25">
      <c r="E855" s="8"/>
    </row>
    <row r="856" spans="5:5" x14ac:dyDescent="0.25">
      <c r="E856" s="8"/>
    </row>
    <row r="857" spans="5:5" x14ac:dyDescent="0.25">
      <c r="E857" s="8"/>
    </row>
    <row r="858" spans="5:5" x14ac:dyDescent="0.25">
      <c r="E858" s="8"/>
    </row>
    <row r="859" spans="5:5" x14ac:dyDescent="0.25">
      <c r="E859" s="8"/>
    </row>
    <row r="860" spans="5:5" x14ac:dyDescent="0.25">
      <c r="E860" s="8"/>
    </row>
    <row r="861" spans="5:5" x14ac:dyDescent="0.25">
      <c r="E861" s="8"/>
    </row>
    <row r="862" spans="5:5" x14ac:dyDescent="0.25">
      <c r="E862" s="8"/>
    </row>
    <row r="863" spans="5:5" x14ac:dyDescent="0.25">
      <c r="E863" s="8"/>
    </row>
    <row r="864" spans="5:5" x14ac:dyDescent="0.25">
      <c r="E864" s="8"/>
    </row>
    <row r="865" spans="5:5" x14ac:dyDescent="0.25">
      <c r="E865" s="8"/>
    </row>
    <row r="866" spans="5:5" x14ac:dyDescent="0.25">
      <c r="E866" s="8"/>
    </row>
    <row r="867" spans="5:5" x14ac:dyDescent="0.25">
      <c r="E867" s="8"/>
    </row>
    <row r="868" spans="5:5" x14ac:dyDescent="0.25">
      <c r="E868" s="8"/>
    </row>
    <row r="869" spans="5:5" x14ac:dyDescent="0.25">
      <c r="E869" s="8"/>
    </row>
    <row r="870" spans="5:5" x14ac:dyDescent="0.25">
      <c r="E870" s="8"/>
    </row>
    <row r="871" spans="5:5" x14ac:dyDescent="0.25">
      <c r="E871" s="8"/>
    </row>
    <row r="872" spans="5:5" x14ac:dyDescent="0.25">
      <c r="E872" s="8"/>
    </row>
    <row r="873" spans="5:5" x14ac:dyDescent="0.25">
      <c r="E873" s="8"/>
    </row>
    <row r="874" spans="5:5" x14ac:dyDescent="0.25">
      <c r="E874" s="8"/>
    </row>
    <row r="875" spans="5:5" x14ac:dyDescent="0.25">
      <c r="E875" s="8"/>
    </row>
    <row r="876" spans="5:5" x14ac:dyDescent="0.25">
      <c r="E876" s="8"/>
    </row>
    <row r="877" spans="5:5" x14ac:dyDescent="0.25">
      <c r="E877" s="8"/>
    </row>
    <row r="878" spans="5:5" x14ac:dyDescent="0.25">
      <c r="E878" s="8"/>
    </row>
    <row r="879" spans="5:5" x14ac:dyDescent="0.25">
      <c r="E879" s="8"/>
    </row>
    <row r="880" spans="5:5" x14ac:dyDescent="0.25">
      <c r="E880" s="8"/>
    </row>
    <row r="881" spans="5:5" x14ac:dyDescent="0.25">
      <c r="E881" s="8"/>
    </row>
    <row r="882" spans="5:5" x14ac:dyDescent="0.25">
      <c r="E882" s="8"/>
    </row>
    <row r="883" spans="5:5" x14ac:dyDescent="0.25">
      <c r="E883" s="8"/>
    </row>
    <row r="884" spans="5:5" x14ac:dyDescent="0.25">
      <c r="E884" s="8"/>
    </row>
    <row r="885" spans="5:5" x14ac:dyDescent="0.25">
      <c r="E885" s="8"/>
    </row>
    <row r="886" spans="5:5" x14ac:dyDescent="0.25">
      <c r="E886" s="8"/>
    </row>
    <row r="887" spans="5:5" x14ac:dyDescent="0.25">
      <c r="E887" s="8"/>
    </row>
    <row r="888" spans="5:5" x14ac:dyDescent="0.25">
      <c r="E888" s="8"/>
    </row>
    <row r="889" spans="5:5" x14ac:dyDescent="0.25">
      <c r="E889" s="8"/>
    </row>
    <row r="890" spans="5:5" x14ac:dyDescent="0.25">
      <c r="E890" s="8"/>
    </row>
    <row r="891" spans="5:5" x14ac:dyDescent="0.25">
      <c r="E891" s="8"/>
    </row>
    <row r="892" spans="5:5" x14ac:dyDescent="0.25">
      <c r="E892" s="8"/>
    </row>
    <row r="893" spans="5:5" x14ac:dyDescent="0.25">
      <c r="E893" s="8"/>
    </row>
    <row r="894" spans="5:5" x14ac:dyDescent="0.25">
      <c r="E894" s="8"/>
    </row>
    <row r="895" spans="5:5" x14ac:dyDescent="0.25">
      <c r="E895" s="8"/>
    </row>
    <row r="896" spans="5:5" x14ac:dyDescent="0.25">
      <c r="E896" s="8"/>
    </row>
    <row r="897" spans="5:5" x14ac:dyDescent="0.25">
      <c r="E897" s="8"/>
    </row>
    <row r="898" spans="5:5" x14ac:dyDescent="0.25">
      <c r="E898" s="8"/>
    </row>
    <row r="899" spans="5:5" x14ac:dyDescent="0.25">
      <c r="E899" s="8"/>
    </row>
    <row r="900" spans="5:5" x14ac:dyDescent="0.25">
      <c r="E900" s="8"/>
    </row>
    <row r="901" spans="5:5" x14ac:dyDescent="0.25">
      <c r="E901" s="8"/>
    </row>
    <row r="902" spans="5:5" x14ac:dyDescent="0.25">
      <c r="E902" s="8"/>
    </row>
    <row r="903" spans="5:5" x14ac:dyDescent="0.25">
      <c r="E903" s="8"/>
    </row>
    <row r="904" spans="5:5" x14ac:dyDescent="0.25">
      <c r="E904" s="8"/>
    </row>
    <row r="905" spans="5:5" x14ac:dyDescent="0.25">
      <c r="E905" s="8"/>
    </row>
    <row r="906" spans="5:5" x14ac:dyDescent="0.25">
      <c r="E906" s="8"/>
    </row>
    <row r="907" spans="5:5" x14ac:dyDescent="0.25">
      <c r="E907" s="8"/>
    </row>
    <row r="908" spans="5:5" x14ac:dyDescent="0.25">
      <c r="E908" s="8"/>
    </row>
    <row r="909" spans="5:5" x14ac:dyDescent="0.25">
      <c r="E909" s="8"/>
    </row>
    <row r="910" spans="5:5" x14ac:dyDescent="0.25">
      <c r="E910" s="8"/>
    </row>
    <row r="911" spans="5:5" x14ac:dyDescent="0.25">
      <c r="E911" s="8"/>
    </row>
    <row r="912" spans="5:5" x14ac:dyDescent="0.25">
      <c r="E912" s="8"/>
    </row>
    <row r="913" spans="5:5" x14ac:dyDescent="0.25">
      <c r="E913" s="8"/>
    </row>
    <row r="914" spans="5:5" x14ac:dyDescent="0.25">
      <c r="E914" s="8"/>
    </row>
    <row r="915" spans="5:5" x14ac:dyDescent="0.25">
      <c r="E915" s="8"/>
    </row>
    <row r="916" spans="5:5" x14ac:dyDescent="0.25">
      <c r="E916" s="8"/>
    </row>
    <row r="917" spans="5:5" x14ac:dyDescent="0.25">
      <c r="E917" s="8"/>
    </row>
    <row r="918" spans="5:5" x14ac:dyDescent="0.25">
      <c r="E918" s="8"/>
    </row>
    <row r="919" spans="5:5" x14ac:dyDescent="0.25">
      <c r="E919" s="8"/>
    </row>
    <row r="920" spans="5:5" x14ac:dyDescent="0.25">
      <c r="E920" s="8"/>
    </row>
    <row r="921" spans="5:5" x14ac:dyDescent="0.25">
      <c r="E921" s="8"/>
    </row>
    <row r="922" spans="5:5" x14ac:dyDescent="0.25">
      <c r="E922" s="8"/>
    </row>
    <row r="923" spans="5:5" x14ac:dyDescent="0.25">
      <c r="E923" s="8"/>
    </row>
    <row r="924" spans="5:5" x14ac:dyDescent="0.25">
      <c r="E924" s="8"/>
    </row>
    <row r="925" spans="5:5" x14ac:dyDescent="0.25">
      <c r="E925" s="8"/>
    </row>
    <row r="926" spans="5:5" x14ac:dyDescent="0.25">
      <c r="E926" s="8"/>
    </row>
    <row r="927" spans="5:5" x14ac:dyDescent="0.25">
      <c r="E927" s="8"/>
    </row>
    <row r="928" spans="5:5" x14ac:dyDescent="0.25">
      <c r="E928" s="8"/>
    </row>
    <row r="929" spans="5:5" x14ac:dyDescent="0.25">
      <c r="E929" s="8"/>
    </row>
    <row r="930" spans="5:5" x14ac:dyDescent="0.25">
      <c r="E930" s="8"/>
    </row>
    <row r="931" spans="5:5" x14ac:dyDescent="0.25">
      <c r="E931" s="8"/>
    </row>
    <row r="932" spans="5:5" x14ac:dyDescent="0.25">
      <c r="E932" s="8"/>
    </row>
    <row r="933" spans="5:5" x14ac:dyDescent="0.25">
      <c r="E933" s="8"/>
    </row>
    <row r="934" spans="5:5" x14ac:dyDescent="0.25">
      <c r="E934" s="8"/>
    </row>
    <row r="935" spans="5:5" x14ac:dyDescent="0.25">
      <c r="E935" s="8"/>
    </row>
    <row r="936" spans="5:5" x14ac:dyDescent="0.25">
      <c r="E936" s="8"/>
    </row>
    <row r="937" spans="5:5" x14ac:dyDescent="0.25">
      <c r="E937" s="8"/>
    </row>
    <row r="938" spans="5:5" x14ac:dyDescent="0.25">
      <c r="E938" s="8"/>
    </row>
    <row r="939" spans="5:5" x14ac:dyDescent="0.25">
      <c r="E939" s="8"/>
    </row>
    <row r="940" spans="5:5" x14ac:dyDescent="0.25">
      <c r="E940" s="8"/>
    </row>
    <row r="941" spans="5:5" x14ac:dyDescent="0.25">
      <c r="E941" s="8"/>
    </row>
    <row r="942" spans="5:5" x14ac:dyDescent="0.25">
      <c r="E942" s="8"/>
    </row>
    <row r="943" spans="5:5" x14ac:dyDescent="0.25">
      <c r="E943" s="8"/>
    </row>
    <row r="944" spans="5:5" x14ac:dyDescent="0.25">
      <c r="E944" s="8"/>
    </row>
    <row r="945" spans="5:5" x14ac:dyDescent="0.25">
      <c r="E945" s="8"/>
    </row>
    <row r="946" spans="5:5" x14ac:dyDescent="0.25">
      <c r="E946" s="8"/>
    </row>
    <row r="947" spans="5:5" x14ac:dyDescent="0.25">
      <c r="E947" s="8"/>
    </row>
    <row r="948" spans="5:5" x14ac:dyDescent="0.25">
      <c r="E948" s="8"/>
    </row>
    <row r="949" spans="5:5" x14ac:dyDescent="0.25">
      <c r="E949" s="8"/>
    </row>
    <row r="950" spans="5:5" x14ac:dyDescent="0.25">
      <c r="E950" s="8"/>
    </row>
    <row r="951" spans="5:5" x14ac:dyDescent="0.25">
      <c r="E951" s="8"/>
    </row>
    <row r="952" spans="5:5" x14ac:dyDescent="0.25">
      <c r="E952" s="8"/>
    </row>
    <row r="953" spans="5:5" x14ac:dyDescent="0.25">
      <c r="E953" s="8"/>
    </row>
    <row r="954" spans="5:5" x14ac:dyDescent="0.25">
      <c r="E954" s="8"/>
    </row>
    <row r="955" spans="5:5" x14ac:dyDescent="0.25">
      <c r="E955" s="8"/>
    </row>
    <row r="956" spans="5:5" x14ac:dyDescent="0.25">
      <c r="E956" s="8"/>
    </row>
    <row r="957" spans="5:5" x14ac:dyDescent="0.25">
      <c r="E957" s="8"/>
    </row>
    <row r="958" spans="5:5" x14ac:dyDescent="0.25">
      <c r="E958" s="8"/>
    </row>
    <row r="959" spans="5:5" x14ac:dyDescent="0.25">
      <c r="E959" s="8"/>
    </row>
    <row r="960" spans="5:5" x14ac:dyDescent="0.25">
      <c r="E960" s="8"/>
    </row>
    <row r="961" spans="5:5" x14ac:dyDescent="0.25">
      <c r="E961" s="8"/>
    </row>
    <row r="962" spans="5:5" x14ac:dyDescent="0.25">
      <c r="E962" s="8"/>
    </row>
    <row r="963" spans="5:5" x14ac:dyDescent="0.25">
      <c r="E963" s="8"/>
    </row>
    <row r="964" spans="5:5" x14ac:dyDescent="0.25">
      <c r="E964" s="8"/>
    </row>
    <row r="965" spans="5:5" x14ac:dyDescent="0.25">
      <c r="E965" s="8"/>
    </row>
    <row r="966" spans="5:5" x14ac:dyDescent="0.25">
      <c r="E966" s="8"/>
    </row>
    <row r="967" spans="5:5" x14ac:dyDescent="0.25">
      <c r="E967" s="8"/>
    </row>
    <row r="968" spans="5:5" x14ac:dyDescent="0.25">
      <c r="E968" s="8"/>
    </row>
    <row r="969" spans="5:5" x14ac:dyDescent="0.25">
      <c r="E969" s="8"/>
    </row>
    <row r="970" spans="5:5" x14ac:dyDescent="0.25">
      <c r="E970" s="8"/>
    </row>
    <row r="971" spans="5:5" x14ac:dyDescent="0.25">
      <c r="E971" s="8"/>
    </row>
    <row r="972" spans="5:5" x14ac:dyDescent="0.25">
      <c r="E972" s="8"/>
    </row>
    <row r="973" spans="5:5" x14ac:dyDescent="0.25">
      <c r="E973" s="8"/>
    </row>
    <row r="974" spans="5:5" x14ac:dyDescent="0.25">
      <c r="E974" s="8"/>
    </row>
    <row r="975" spans="5:5" x14ac:dyDescent="0.25">
      <c r="E975" s="8"/>
    </row>
    <row r="976" spans="5:5" x14ac:dyDescent="0.25">
      <c r="E976" s="8"/>
    </row>
    <row r="977" spans="5:5" x14ac:dyDescent="0.25">
      <c r="E977" s="8"/>
    </row>
    <row r="978" spans="5:5" x14ac:dyDescent="0.25">
      <c r="E978" s="8"/>
    </row>
    <row r="979" spans="5:5" x14ac:dyDescent="0.25">
      <c r="E979" s="8"/>
    </row>
    <row r="980" spans="5:5" x14ac:dyDescent="0.25">
      <c r="E980" s="8"/>
    </row>
    <row r="981" spans="5:5" x14ac:dyDescent="0.25">
      <c r="E981" s="8"/>
    </row>
    <row r="982" spans="5:5" x14ac:dyDescent="0.25">
      <c r="E982" s="8"/>
    </row>
    <row r="983" spans="5:5" x14ac:dyDescent="0.25">
      <c r="E983" s="8"/>
    </row>
    <row r="984" spans="5:5" x14ac:dyDescent="0.25">
      <c r="E984" s="8"/>
    </row>
    <row r="985" spans="5:5" x14ac:dyDescent="0.25">
      <c r="E985" s="8"/>
    </row>
    <row r="986" spans="5:5" x14ac:dyDescent="0.25">
      <c r="E986" s="8"/>
    </row>
    <row r="987" spans="5:5" x14ac:dyDescent="0.25">
      <c r="E987" s="8"/>
    </row>
    <row r="988" spans="5:5" x14ac:dyDescent="0.25">
      <c r="E988" s="8"/>
    </row>
    <row r="989" spans="5:5" x14ac:dyDescent="0.25">
      <c r="E989" s="8"/>
    </row>
    <row r="990" spans="5:5" x14ac:dyDescent="0.25">
      <c r="E990" s="8"/>
    </row>
    <row r="991" spans="5:5" x14ac:dyDescent="0.25">
      <c r="E991" s="8"/>
    </row>
    <row r="992" spans="5:5" x14ac:dyDescent="0.25">
      <c r="E992" s="8"/>
    </row>
    <row r="993" spans="5:5" x14ac:dyDescent="0.25">
      <c r="E993" s="8"/>
    </row>
    <row r="994" spans="5:5" x14ac:dyDescent="0.25">
      <c r="E994" s="8"/>
    </row>
    <row r="995" spans="5:5" x14ac:dyDescent="0.25">
      <c r="E995" s="8"/>
    </row>
    <row r="996" spans="5:5" x14ac:dyDescent="0.25">
      <c r="E996" s="8"/>
    </row>
    <row r="997" spans="5:5" x14ac:dyDescent="0.25">
      <c r="E997" s="8"/>
    </row>
    <row r="998" spans="5:5" x14ac:dyDescent="0.25">
      <c r="E998" s="8"/>
    </row>
    <row r="999" spans="5:5" x14ac:dyDescent="0.25">
      <c r="E999" s="8"/>
    </row>
    <row r="1000" spans="5:5" x14ac:dyDescent="0.25">
      <c r="E1000" s="8"/>
    </row>
    <row r="1001" spans="5:5" x14ac:dyDescent="0.25">
      <c r="E1001" s="8"/>
    </row>
    <row r="1002" spans="5:5" x14ac:dyDescent="0.25">
      <c r="E1002" s="8"/>
    </row>
    <row r="1003" spans="5:5" x14ac:dyDescent="0.25">
      <c r="E1003" s="8"/>
    </row>
    <row r="1004" spans="5:5" x14ac:dyDescent="0.25">
      <c r="E1004" s="8"/>
    </row>
    <row r="1005" spans="5:5" x14ac:dyDescent="0.25">
      <c r="E1005" s="8"/>
    </row>
    <row r="1006" spans="5:5" x14ac:dyDescent="0.25">
      <c r="E1006" s="8"/>
    </row>
    <row r="1007" spans="5:5" x14ac:dyDescent="0.25">
      <c r="E1007" s="8"/>
    </row>
    <row r="1008" spans="5:5" x14ac:dyDescent="0.25">
      <c r="E1008" s="8"/>
    </row>
    <row r="1009" spans="5:5" x14ac:dyDescent="0.25">
      <c r="E1009" s="8"/>
    </row>
    <row r="1010" spans="5:5" x14ac:dyDescent="0.25">
      <c r="E1010" s="8"/>
    </row>
    <row r="1011" spans="5:5" x14ac:dyDescent="0.25">
      <c r="E1011" s="8"/>
    </row>
    <row r="1012" spans="5:5" x14ac:dyDescent="0.25">
      <c r="E1012" s="8"/>
    </row>
    <row r="1013" spans="5:5" x14ac:dyDescent="0.25">
      <c r="E1013" s="8"/>
    </row>
    <row r="1014" spans="5:5" x14ac:dyDescent="0.25">
      <c r="E1014" s="8"/>
    </row>
    <row r="1015" spans="5:5" x14ac:dyDescent="0.25">
      <c r="E1015" s="8"/>
    </row>
    <row r="1016" spans="5:5" x14ac:dyDescent="0.25">
      <c r="E1016" s="8"/>
    </row>
    <row r="1017" spans="5:5" x14ac:dyDescent="0.25">
      <c r="E1017" s="8"/>
    </row>
    <row r="1018" spans="5:5" x14ac:dyDescent="0.25">
      <c r="E1018" s="8"/>
    </row>
    <row r="1019" spans="5:5" x14ac:dyDescent="0.25">
      <c r="E1019" s="8"/>
    </row>
    <row r="1020" spans="5:5" x14ac:dyDescent="0.25">
      <c r="E1020" s="8"/>
    </row>
    <row r="1021" spans="5:5" x14ac:dyDescent="0.25">
      <c r="E1021" s="8"/>
    </row>
    <row r="1022" spans="5:5" x14ac:dyDescent="0.25">
      <c r="E1022" s="8"/>
    </row>
    <row r="1023" spans="5:5" x14ac:dyDescent="0.25">
      <c r="E1023" s="8"/>
    </row>
    <row r="1024" spans="5:5" x14ac:dyDescent="0.25">
      <c r="E1024" s="8"/>
    </row>
    <row r="1025" spans="5:5" x14ac:dyDescent="0.25">
      <c r="E1025" s="8"/>
    </row>
    <row r="1026" spans="5:5" x14ac:dyDescent="0.25">
      <c r="E1026" s="8"/>
    </row>
    <row r="1027" spans="5:5" x14ac:dyDescent="0.25">
      <c r="E1027" s="8"/>
    </row>
    <row r="1028" spans="5:5" x14ac:dyDescent="0.25">
      <c r="E1028" s="8"/>
    </row>
    <row r="1029" spans="5:5" x14ac:dyDescent="0.25">
      <c r="E1029" s="8"/>
    </row>
    <row r="1030" spans="5:5" x14ac:dyDescent="0.25">
      <c r="E1030" s="8"/>
    </row>
    <row r="1031" spans="5:5" x14ac:dyDescent="0.25">
      <c r="E1031" s="8"/>
    </row>
    <row r="1032" spans="5:5" x14ac:dyDescent="0.25">
      <c r="E1032" s="8"/>
    </row>
    <row r="1033" spans="5:5" x14ac:dyDescent="0.25">
      <c r="E1033" s="8"/>
    </row>
    <row r="1034" spans="5:5" x14ac:dyDescent="0.25">
      <c r="E1034" s="8"/>
    </row>
    <row r="1035" spans="5:5" x14ac:dyDescent="0.25">
      <c r="E1035" s="8"/>
    </row>
    <row r="1036" spans="5:5" x14ac:dyDescent="0.25">
      <c r="E1036" s="8"/>
    </row>
    <row r="1037" spans="5:5" x14ac:dyDescent="0.25">
      <c r="E1037" s="8"/>
    </row>
    <row r="1038" spans="5:5" x14ac:dyDescent="0.25">
      <c r="E1038" s="8"/>
    </row>
    <row r="1039" spans="5:5" x14ac:dyDescent="0.25">
      <c r="E1039" s="8"/>
    </row>
    <row r="1040" spans="5:5" x14ac:dyDescent="0.25">
      <c r="E1040" s="8"/>
    </row>
    <row r="1041" spans="5:5" x14ac:dyDescent="0.25">
      <c r="E1041" s="8"/>
    </row>
    <row r="1042" spans="5:5" x14ac:dyDescent="0.25">
      <c r="E1042" s="8"/>
    </row>
    <row r="1043" spans="5:5" x14ac:dyDescent="0.25">
      <c r="E1043" s="8"/>
    </row>
    <row r="1044" spans="5:5" x14ac:dyDescent="0.25">
      <c r="E1044" s="8"/>
    </row>
    <row r="1045" spans="5:5" x14ac:dyDescent="0.25">
      <c r="E1045" s="8"/>
    </row>
    <row r="1046" spans="5:5" x14ac:dyDescent="0.25">
      <c r="E1046" s="8"/>
    </row>
    <row r="1047" spans="5:5" x14ac:dyDescent="0.25">
      <c r="E1047" s="8"/>
    </row>
    <row r="1048" spans="5:5" x14ac:dyDescent="0.25">
      <c r="E1048" s="8"/>
    </row>
    <row r="1049" spans="5:5" x14ac:dyDescent="0.25">
      <c r="E1049" s="8"/>
    </row>
    <row r="1050" spans="5:5" x14ac:dyDescent="0.25">
      <c r="E1050" s="8"/>
    </row>
    <row r="1051" spans="5:5" x14ac:dyDescent="0.25">
      <c r="E1051" s="8"/>
    </row>
    <row r="1052" spans="5:5" x14ac:dyDescent="0.25">
      <c r="E1052" s="8"/>
    </row>
    <row r="1053" spans="5:5" x14ac:dyDescent="0.25">
      <c r="E1053" s="8"/>
    </row>
    <row r="1054" spans="5:5" x14ac:dyDescent="0.25">
      <c r="E1054" s="8"/>
    </row>
    <row r="1055" spans="5:5" x14ac:dyDescent="0.25">
      <c r="E1055" s="8"/>
    </row>
    <row r="1056" spans="5:5" x14ac:dyDescent="0.25">
      <c r="E1056" s="8"/>
    </row>
    <row r="1057" spans="5:5" x14ac:dyDescent="0.25">
      <c r="E1057" s="8"/>
    </row>
    <row r="1058" spans="5:5" x14ac:dyDescent="0.25">
      <c r="E1058" s="8"/>
    </row>
    <row r="1059" spans="5:5" x14ac:dyDescent="0.25">
      <c r="E1059" s="8"/>
    </row>
    <row r="1060" spans="5:5" x14ac:dyDescent="0.25">
      <c r="E1060" s="8"/>
    </row>
    <row r="1061" spans="5:5" x14ac:dyDescent="0.25">
      <c r="E1061" s="8"/>
    </row>
    <row r="1062" spans="5:5" x14ac:dyDescent="0.25">
      <c r="E1062" s="8"/>
    </row>
    <row r="1063" spans="5:5" x14ac:dyDescent="0.25">
      <c r="E1063" s="8"/>
    </row>
    <row r="1064" spans="5:5" x14ac:dyDescent="0.25">
      <c r="E1064" s="8"/>
    </row>
    <row r="1065" spans="5:5" x14ac:dyDescent="0.25">
      <c r="E1065" s="8"/>
    </row>
    <row r="1066" spans="5:5" x14ac:dyDescent="0.25">
      <c r="E1066" s="8"/>
    </row>
    <row r="1067" spans="5:5" x14ac:dyDescent="0.25">
      <c r="E1067" s="8"/>
    </row>
    <row r="1068" spans="5:5" x14ac:dyDescent="0.25">
      <c r="E1068" s="8"/>
    </row>
    <row r="1069" spans="5:5" x14ac:dyDescent="0.25">
      <c r="E1069" s="8"/>
    </row>
    <row r="1070" spans="5:5" x14ac:dyDescent="0.25">
      <c r="E1070" s="8"/>
    </row>
    <row r="1071" spans="5:5" x14ac:dyDescent="0.25">
      <c r="E1071" s="8"/>
    </row>
    <row r="1072" spans="5:5" x14ac:dyDescent="0.25">
      <c r="E1072" s="8"/>
    </row>
    <row r="1073" spans="5:5" x14ac:dyDescent="0.25">
      <c r="E1073" s="8"/>
    </row>
    <row r="1074" spans="5:5" x14ac:dyDescent="0.25">
      <c r="E1074" s="8"/>
    </row>
    <row r="1075" spans="5:5" x14ac:dyDescent="0.25">
      <c r="E1075" s="8"/>
    </row>
    <row r="1076" spans="5:5" x14ac:dyDescent="0.25">
      <c r="E1076" s="8"/>
    </row>
    <row r="1077" spans="5:5" x14ac:dyDescent="0.25">
      <c r="E1077" s="8"/>
    </row>
    <row r="1078" spans="5:5" x14ac:dyDescent="0.25">
      <c r="E1078" s="8"/>
    </row>
    <row r="1079" spans="5:5" x14ac:dyDescent="0.25">
      <c r="E1079" s="8"/>
    </row>
    <row r="1080" spans="5:5" x14ac:dyDescent="0.25">
      <c r="E1080" s="8"/>
    </row>
    <row r="1081" spans="5:5" x14ac:dyDescent="0.25">
      <c r="E1081" s="8"/>
    </row>
    <row r="1082" spans="5:5" x14ac:dyDescent="0.25">
      <c r="E1082" s="8"/>
    </row>
    <row r="1083" spans="5:5" x14ac:dyDescent="0.25">
      <c r="E1083" s="8"/>
    </row>
    <row r="1084" spans="5:5" x14ac:dyDescent="0.25">
      <c r="E1084" s="8"/>
    </row>
    <row r="1085" spans="5:5" x14ac:dyDescent="0.25">
      <c r="E1085" s="8"/>
    </row>
    <row r="1086" spans="5:5" x14ac:dyDescent="0.25">
      <c r="E1086" s="8"/>
    </row>
    <row r="1087" spans="5:5" x14ac:dyDescent="0.25">
      <c r="E1087" s="8"/>
    </row>
    <row r="1088" spans="5:5" x14ac:dyDescent="0.25">
      <c r="E1088" s="8"/>
    </row>
    <row r="1089" spans="5:5" x14ac:dyDescent="0.25">
      <c r="E1089" s="8"/>
    </row>
    <row r="1090" spans="5:5" x14ac:dyDescent="0.25">
      <c r="E1090" s="8"/>
    </row>
    <row r="1091" spans="5:5" x14ac:dyDescent="0.25">
      <c r="E1091" s="8"/>
    </row>
    <row r="1092" spans="5:5" x14ac:dyDescent="0.25">
      <c r="E1092" s="8"/>
    </row>
    <row r="1093" spans="5:5" x14ac:dyDescent="0.25">
      <c r="E1093" s="8"/>
    </row>
    <row r="1094" spans="5:5" x14ac:dyDescent="0.25">
      <c r="E1094" s="8"/>
    </row>
    <row r="1095" spans="5:5" x14ac:dyDescent="0.25">
      <c r="E1095" s="8"/>
    </row>
    <row r="1096" spans="5:5" x14ac:dyDescent="0.25">
      <c r="E1096" s="8"/>
    </row>
    <row r="1097" spans="5:5" x14ac:dyDescent="0.25">
      <c r="E1097" s="8"/>
    </row>
    <row r="1098" spans="5:5" x14ac:dyDescent="0.25">
      <c r="E1098" s="8"/>
    </row>
    <row r="1099" spans="5:5" x14ac:dyDescent="0.25">
      <c r="E1099" s="8"/>
    </row>
    <row r="1100" spans="5:5" x14ac:dyDescent="0.25">
      <c r="E1100" s="8"/>
    </row>
    <row r="1101" spans="5:5" x14ac:dyDescent="0.25">
      <c r="E1101" s="8"/>
    </row>
    <row r="1102" spans="5:5" x14ac:dyDescent="0.25">
      <c r="E1102" s="8"/>
    </row>
    <row r="1103" spans="5:5" x14ac:dyDescent="0.25">
      <c r="E1103" s="8"/>
    </row>
    <row r="1104" spans="5:5" x14ac:dyDescent="0.25">
      <c r="E1104" s="8"/>
    </row>
    <row r="1105" spans="5:5" x14ac:dyDescent="0.25">
      <c r="E1105" s="8"/>
    </row>
    <row r="1106" spans="5:5" x14ac:dyDescent="0.25">
      <c r="E1106" s="8"/>
    </row>
    <row r="1107" spans="5:5" x14ac:dyDescent="0.25">
      <c r="E1107" s="8"/>
    </row>
    <row r="1108" spans="5:5" x14ac:dyDescent="0.25">
      <c r="E1108" s="8"/>
    </row>
    <row r="1109" spans="5:5" x14ac:dyDescent="0.25">
      <c r="E1109" s="8"/>
    </row>
    <row r="1110" spans="5:5" x14ac:dyDescent="0.25">
      <c r="E1110" s="8"/>
    </row>
    <row r="1111" spans="5:5" x14ac:dyDescent="0.25">
      <c r="E1111" s="8"/>
    </row>
    <row r="1112" spans="5:5" x14ac:dyDescent="0.25">
      <c r="E1112" s="8"/>
    </row>
    <row r="1113" spans="5:5" x14ac:dyDescent="0.25">
      <c r="E1113" s="8"/>
    </row>
    <row r="1114" spans="5:5" x14ac:dyDescent="0.25">
      <c r="E1114" s="8"/>
    </row>
    <row r="1115" spans="5:5" x14ac:dyDescent="0.25">
      <c r="E1115" s="8"/>
    </row>
    <row r="1116" spans="5:5" x14ac:dyDescent="0.25">
      <c r="E1116" s="8"/>
    </row>
    <row r="1117" spans="5:5" x14ac:dyDescent="0.25">
      <c r="E1117" s="8"/>
    </row>
    <row r="1118" spans="5:5" x14ac:dyDescent="0.25">
      <c r="E1118" s="8"/>
    </row>
    <row r="1119" spans="5:5" x14ac:dyDescent="0.25">
      <c r="E1119" s="8"/>
    </row>
    <row r="1120" spans="5:5" x14ac:dyDescent="0.25">
      <c r="E1120" s="8"/>
    </row>
    <row r="1121" spans="5:5" x14ac:dyDescent="0.25">
      <c r="E1121" s="8"/>
    </row>
    <row r="1122" spans="5:5" x14ac:dyDescent="0.25">
      <c r="E1122" s="8"/>
    </row>
    <row r="1123" spans="5:5" x14ac:dyDescent="0.25">
      <c r="E1123" s="8"/>
    </row>
    <row r="1124" spans="5:5" x14ac:dyDescent="0.25">
      <c r="E1124" s="8"/>
    </row>
    <row r="1125" spans="5:5" x14ac:dyDescent="0.25">
      <c r="E1125" s="8"/>
    </row>
    <row r="1126" spans="5:5" x14ac:dyDescent="0.25">
      <c r="E1126" s="8"/>
    </row>
    <row r="1127" spans="5:5" x14ac:dyDescent="0.25">
      <c r="E1127" s="8"/>
    </row>
    <row r="1128" spans="5:5" x14ac:dyDescent="0.25">
      <c r="E1128" s="8"/>
    </row>
    <row r="1129" spans="5:5" x14ac:dyDescent="0.25">
      <c r="E1129" s="8"/>
    </row>
    <row r="1130" spans="5:5" x14ac:dyDescent="0.25">
      <c r="E1130" s="8"/>
    </row>
    <row r="1131" spans="5:5" x14ac:dyDescent="0.25">
      <c r="E1131" s="8"/>
    </row>
    <row r="1132" spans="5:5" x14ac:dyDescent="0.25">
      <c r="E1132" s="8"/>
    </row>
    <row r="1133" spans="5:5" x14ac:dyDescent="0.25">
      <c r="E1133" s="8"/>
    </row>
    <row r="1134" spans="5:5" x14ac:dyDescent="0.25">
      <c r="E1134" s="8"/>
    </row>
    <row r="1135" spans="5:5" x14ac:dyDescent="0.25">
      <c r="E1135" s="8"/>
    </row>
    <row r="1136" spans="5:5" x14ac:dyDescent="0.25">
      <c r="E1136" s="8"/>
    </row>
    <row r="1137" spans="5:5" x14ac:dyDescent="0.25">
      <c r="E1137" s="8"/>
    </row>
    <row r="1138" spans="5:5" x14ac:dyDescent="0.25">
      <c r="E1138" s="8"/>
    </row>
    <row r="1139" spans="5:5" x14ac:dyDescent="0.25">
      <c r="E1139" s="8"/>
    </row>
    <row r="1140" spans="5:5" x14ac:dyDescent="0.25">
      <c r="E1140" s="8"/>
    </row>
    <row r="1141" spans="5:5" x14ac:dyDescent="0.25">
      <c r="E1141" s="8"/>
    </row>
    <row r="1142" spans="5:5" x14ac:dyDescent="0.25">
      <c r="E1142" s="8"/>
    </row>
    <row r="1143" spans="5:5" x14ac:dyDescent="0.25">
      <c r="E1143" s="8"/>
    </row>
    <row r="1144" spans="5:5" x14ac:dyDescent="0.25">
      <c r="E1144" s="8"/>
    </row>
    <row r="1145" spans="5:5" x14ac:dyDescent="0.25">
      <c r="E1145" s="8"/>
    </row>
    <row r="1146" spans="5:5" x14ac:dyDescent="0.25">
      <c r="E1146" s="8"/>
    </row>
    <row r="1147" spans="5:5" x14ac:dyDescent="0.25">
      <c r="E1147" s="8"/>
    </row>
    <row r="1148" spans="5:5" x14ac:dyDescent="0.25">
      <c r="E1148" s="8"/>
    </row>
    <row r="1149" spans="5:5" x14ac:dyDescent="0.25">
      <c r="E1149" s="8"/>
    </row>
    <row r="1150" spans="5:5" x14ac:dyDescent="0.25">
      <c r="E1150" s="8"/>
    </row>
    <row r="1151" spans="5:5" x14ac:dyDescent="0.25">
      <c r="E1151" s="8"/>
    </row>
    <row r="1152" spans="5:5" x14ac:dyDescent="0.25">
      <c r="E1152" s="8"/>
    </row>
    <row r="1153" spans="5:5" x14ac:dyDescent="0.25">
      <c r="E1153" s="8"/>
    </row>
    <row r="1154" spans="5:5" x14ac:dyDescent="0.25">
      <c r="E1154" s="8"/>
    </row>
    <row r="1155" spans="5:5" x14ac:dyDescent="0.25">
      <c r="E1155" s="8"/>
    </row>
    <row r="1156" spans="5:5" x14ac:dyDescent="0.25">
      <c r="E1156" s="8"/>
    </row>
    <row r="1157" spans="5:5" x14ac:dyDescent="0.25">
      <c r="E1157" s="8"/>
    </row>
    <row r="1158" spans="5:5" x14ac:dyDescent="0.25">
      <c r="E1158" s="8"/>
    </row>
    <row r="1159" spans="5:5" x14ac:dyDescent="0.25">
      <c r="E1159" s="8"/>
    </row>
    <row r="1160" spans="5:5" x14ac:dyDescent="0.25">
      <c r="E1160" s="8"/>
    </row>
    <row r="1161" spans="5:5" x14ac:dyDescent="0.25">
      <c r="E1161" s="8"/>
    </row>
    <row r="1162" spans="5:5" x14ac:dyDescent="0.25">
      <c r="E1162" s="8"/>
    </row>
    <row r="1163" spans="5:5" x14ac:dyDescent="0.25">
      <c r="E1163" s="8"/>
    </row>
    <row r="1164" spans="5:5" x14ac:dyDescent="0.25">
      <c r="E1164" s="8"/>
    </row>
    <row r="1165" spans="5:5" x14ac:dyDescent="0.25">
      <c r="E1165" s="8"/>
    </row>
    <row r="1166" spans="5:5" x14ac:dyDescent="0.25">
      <c r="E1166" s="8"/>
    </row>
    <row r="1167" spans="5:5" x14ac:dyDescent="0.25">
      <c r="E1167" s="8"/>
    </row>
    <row r="1168" spans="5:5" x14ac:dyDescent="0.25">
      <c r="E1168" s="8"/>
    </row>
    <row r="1169" spans="5:5" x14ac:dyDescent="0.25">
      <c r="E1169" s="8"/>
    </row>
    <row r="1170" spans="5:5" x14ac:dyDescent="0.25">
      <c r="E1170" s="8"/>
    </row>
    <row r="1171" spans="5:5" x14ac:dyDescent="0.25">
      <c r="E1171" s="8"/>
    </row>
    <row r="1172" spans="5:5" x14ac:dyDescent="0.25">
      <c r="E1172" s="8"/>
    </row>
    <row r="1173" spans="5:5" x14ac:dyDescent="0.25">
      <c r="E1173" s="8"/>
    </row>
    <row r="1174" spans="5:5" x14ac:dyDescent="0.25">
      <c r="E1174" s="8"/>
    </row>
    <row r="1175" spans="5:5" x14ac:dyDescent="0.25">
      <c r="E1175" s="8"/>
    </row>
    <row r="1176" spans="5:5" x14ac:dyDescent="0.25">
      <c r="E1176" s="8"/>
    </row>
    <row r="1177" spans="5:5" x14ac:dyDescent="0.25">
      <c r="E1177" s="8"/>
    </row>
    <row r="1178" spans="5:5" x14ac:dyDescent="0.25">
      <c r="E1178" s="8"/>
    </row>
    <row r="1179" spans="5:5" x14ac:dyDescent="0.25">
      <c r="E1179" s="8"/>
    </row>
    <row r="1180" spans="5:5" x14ac:dyDescent="0.25">
      <c r="E1180" s="8"/>
    </row>
    <row r="1181" spans="5:5" x14ac:dyDescent="0.25">
      <c r="E1181" s="8"/>
    </row>
    <row r="1182" spans="5:5" x14ac:dyDescent="0.25">
      <c r="E1182" s="8"/>
    </row>
    <row r="1183" spans="5:5" x14ac:dyDescent="0.25">
      <c r="E1183" s="8"/>
    </row>
    <row r="1184" spans="5:5" x14ac:dyDescent="0.25">
      <c r="E1184" s="8"/>
    </row>
    <row r="1185" spans="5:5" x14ac:dyDescent="0.25">
      <c r="E1185" s="8"/>
    </row>
    <row r="1186" spans="5:5" x14ac:dyDescent="0.25">
      <c r="E1186" s="8"/>
    </row>
    <row r="1187" spans="5:5" x14ac:dyDescent="0.25">
      <c r="E1187" s="8"/>
    </row>
    <row r="1188" spans="5:5" x14ac:dyDescent="0.25">
      <c r="E1188" s="8"/>
    </row>
    <row r="1189" spans="5:5" x14ac:dyDescent="0.25">
      <c r="E1189" s="8"/>
    </row>
    <row r="1190" spans="5:5" x14ac:dyDescent="0.25">
      <c r="E1190" s="8"/>
    </row>
    <row r="1191" spans="5:5" x14ac:dyDescent="0.25">
      <c r="E1191" s="8"/>
    </row>
    <row r="1192" spans="5:5" x14ac:dyDescent="0.25">
      <c r="E1192" s="8"/>
    </row>
    <row r="1193" spans="5:5" x14ac:dyDescent="0.25">
      <c r="E1193" s="8"/>
    </row>
    <row r="1194" spans="5:5" x14ac:dyDescent="0.25">
      <c r="E1194" s="8"/>
    </row>
    <row r="1195" spans="5:5" x14ac:dyDescent="0.25">
      <c r="E1195" s="8"/>
    </row>
    <row r="1196" spans="5:5" x14ac:dyDescent="0.25">
      <c r="E1196" s="8"/>
    </row>
    <row r="1197" spans="5:5" x14ac:dyDescent="0.25">
      <c r="E1197" s="8"/>
    </row>
    <row r="1198" spans="5:5" x14ac:dyDescent="0.25">
      <c r="E1198" s="8"/>
    </row>
    <row r="1199" spans="5:5" x14ac:dyDescent="0.25">
      <c r="E1199" s="8"/>
    </row>
    <row r="1200" spans="5:5" x14ac:dyDescent="0.25">
      <c r="E1200" s="8"/>
    </row>
    <row r="1201" spans="5:5" x14ac:dyDescent="0.25">
      <c r="E1201" s="8"/>
    </row>
    <row r="1202" spans="5:5" x14ac:dyDescent="0.25">
      <c r="E1202" s="8"/>
    </row>
    <row r="1203" spans="5:5" x14ac:dyDescent="0.25">
      <c r="E1203" s="8"/>
    </row>
    <row r="1204" spans="5:5" x14ac:dyDescent="0.25">
      <c r="E1204" s="8"/>
    </row>
    <row r="1205" spans="5:5" x14ac:dyDescent="0.25">
      <c r="E1205" s="8"/>
    </row>
    <row r="1206" spans="5:5" x14ac:dyDescent="0.25">
      <c r="E1206" s="8"/>
    </row>
    <row r="1207" spans="5:5" x14ac:dyDescent="0.25">
      <c r="E1207" s="8"/>
    </row>
    <row r="1208" spans="5:5" x14ac:dyDescent="0.25">
      <c r="E1208" s="8"/>
    </row>
    <row r="1209" spans="5:5" x14ac:dyDescent="0.25">
      <c r="E1209" s="8"/>
    </row>
    <row r="1210" spans="5:5" x14ac:dyDescent="0.25">
      <c r="E1210" s="8"/>
    </row>
    <row r="1211" spans="5:5" x14ac:dyDescent="0.25">
      <c r="E1211" s="8"/>
    </row>
  </sheetData>
  <customSheetViews>
    <customSheetView guid="{3A3D6D3D-C242-4ACD-A854-603FFD99C5F9}">
      <pane xSplit="2" ySplit="3" topLeftCell="C25" activePane="bottomRight" state="frozen"/>
      <selection pane="bottomRight" activeCell="I34" sqref="I34"/>
      <pageMargins left="0.7" right="0.7" top="0.75" bottom="0.75" header="0.3" footer="0.3"/>
      <pageSetup orientation="portrait" r:id="rId1"/>
    </customSheetView>
  </customSheetView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6"/>
  <sheetViews>
    <sheetView workbookViewId="0">
      <selection activeCell="L19" sqref="L19"/>
    </sheetView>
  </sheetViews>
  <sheetFormatPr defaultRowHeight="15" x14ac:dyDescent="0.25"/>
  <cols>
    <col min="2" max="2" width="14.140625" customWidth="1"/>
    <col min="3" max="3" width="22.5703125" customWidth="1"/>
    <col min="4" max="4" width="21" customWidth="1"/>
    <col min="5" max="5" width="17.42578125" customWidth="1"/>
    <col min="6" max="6" width="25.7109375" customWidth="1"/>
    <col min="8" max="8" width="15.85546875" customWidth="1"/>
    <col min="9" max="9" width="10.140625" customWidth="1"/>
    <col min="10" max="11" width="10.140625" bestFit="1" customWidth="1"/>
    <col min="12" max="12" width="15" customWidth="1"/>
  </cols>
  <sheetData>
    <row r="1" spans="2:8" ht="33.75" x14ac:dyDescent="0.5">
      <c r="B1" s="30" t="s">
        <v>111</v>
      </c>
    </row>
    <row r="5" spans="2:8" x14ac:dyDescent="0.25">
      <c r="B5" t="s">
        <v>36</v>
      </c>
      <c r="D5" s="22">
        <v>1.5</v>
      </c>
      <c r="E5" t="s">
        <v>39</v>
      </c>
    </row>
    <row r="6" spans="2:8" x14ac:dyDescent="0.25">
      <c r="B6" t="s">
        <v>35</v>
      </c>
      <c r="D6" s="22">
        <v>0.69</v>
      </c>
      <c r="E6" t="s">
        <v>39</v>
      </c>
    </row>
    <row r="7" spans="2:8" x14ac:dyDescent="0.25">
      <c r="B7" t="s">
        <v>37</v>
      </c>
      <c r="D7" s="23">
        <v>37810</v>
      </c>
      <c r="E7" t="s">
        <v>40</v>
      </c>
    </row>
    <row r="8" spans="2:8" x14ac:dyDescent="0.25">
      <c r="B8" t="s">
        <v>38</v>
      </c>
      <c r="D8" s="23">
        <v>34113</v>
      </c>
      <c r="E8" t="s">
        <v>40</v>
      </c>
    </row>
    <row r="9" spans="2:8" x14ac:dyDescent="0.25">
      <c r="B9" t="s">
        <v>112</v>
      </c>
      <c r="D9" s="22">
        <v>1.76</v>
      </c>
      <c r="E9" t="s">
        <v>43</v>
      </c>
    </row>
    <row r="10" spans="2:8" x14ac:dyDescent="0.25">
      <c r="D10" s="23"/>
    </row>
    <row r="11" spans="2:8" ht="15.75" thickBot="1" x14ac:dyDescent="0.3">
      <c r="H11" s="22"/>
    </row>
    <row r="12" spans="2:8" ht="31.5" customHeight="1" x14ac:dyDescent="0.25">
      <c r="B12" s="24" t="s">
        <v>32</v>
      </c>
      <c r="C12" s="25"/>
      <c r="D12" s="25" t="s">
        <v>33</v>
      </c>
      <c r="E12" s="25" t="s">
        <v>34</v>
      </c>
      <c r="F12" s="28" t="s">
        <v>41</v>
      </c>
      <c r="H12" s="33" t="s">
        <v>44</v>
      </c>
    </row>
    <row r="13" spans="2:8" x14ac:dyDescent="0.25">
      <c r="B13" s="15"/>
      <c r="C13" s="26"/>
      <c r="D13" s="26"/>
      <c r="E13" s="26"/>
      <c r="F13" s="18"/>
      <c r="H13" s="18"/>
    </row>
    <row r="14" spans="2:8" x14ac:dyDescent="0.25">
      <c r="B14" s="15">
        <v>30000</v>
      </c>
      <c r="C14" s="26"/>
      <c r="D14" s="27">
        <f>1.5*B14</f>
        <v>45000</v>
      </c>
      <c r="E14" s="27">
        <f>B14*$D$6</f>
        <v>20700</v>
      </c>
      <c r="F14" s="29">
        <f>D14+E14</f>
        <v>65700</v>
      </c>
      <c r="H14" s="143">
        <f>B14*$D$9</f>
        <v>52800</v>
      </c>
    </row>
    <row r="15" spans="2:8" x14ac:dyDescent="0.25">
      <c r="B15" s="15">
        <v>40000</v>
      </c>
      <c r="C15" s="26"/>
      <c r="D15" s="27">
        <f t="shared" ref="D15:D18" si="0">1.5*B15</f>
        <v>60000</v>
      </c>
      <c r="E15" s="27">
        <f t="shared" ref="E15:E18" si="1">B15*$D$6</f>
        <v>27599.999999999996</v>
      </c>
      <c r="F15" s="29">
        <f t="shared" ref="F15:F18" si="2">D15+E15</f>
        <v>87600</v>
      </c>
      <c r="H15" s="143">
        <f t="shared" ref="H15:H18" si="3">B15*$D$9</f>
        <v>70400</v>
      </c>
    </row>
    <row r="16" spans="2:8" x14ac:dyDescent="0.25">
      <c r="B16" s="15">
        <v>50000</v>
      </c>
      <c r="C16" s="26"/>
      <c r="D16" s="27">
        <f t="shared" si="0"/>
        <v>75000</v>
      </c>
      <c r="E16" s="27">
        <f t="shared" si="1"/>
        <v>34500</v>
      </c>
      <c r="F16" s="29">
        <f t="shared" si="2"/>
        <v>109500</v>
      </c>
      <c r="H16" s="143">
        <f t="shared" si="3"/>
        <v>88000</v>
      </c>
    </row>
    <row r="17" spans="2:12" x14ac:dyDescent="0.25">
      <c r="B17" s="15">
        <v>75000</v>
      </c>
      <c r="C17" s="26"/>
      <c r="D17" s="27">
        <f t="shared" si="0"/>
        <v>112500</v>
      </c>
      <c r="E17" s="27">
        <f t="shared" si="1"/>
        <v>51749.999999999993</v>
      </c>
      <c r="F17" s="29">
        <f t="shared" si="2"/>
        <v>164250</v>
      </c>
      <c r="H17" s="143">
        <f t="shared" si="3"/>
        <v>132000</v>
      </c>
    </row>
    <row r="18" spans="2:12" x14ac:dyDescent="0.25">
      <c r="B18" s="15">
        <v>100000</v>
      </c>
      <c r="C18" s="26"/>
      <c r="D18" s="27">
        <f t="shared" si="0"/>
        <v>150000</v>
      </c>
      <c r="E18" s="27">
        <f t="shared" si="1"/>
        <v>69000</v>
      </c>
      <c r="F18" s="29">
        <f t="shared" si="2"/>
        <v>219000</v>
      </c>
      <c r="H18" s="143">
        <f t="shared" si="3"/>
        <v>176000</v>
      </c>
    </row>
    <row r="19" spans="2:12" x14ac:dyDescent="0.25">
      <c r="B19" s="12"/>
      <c r="C19" s="10"/>
      <c r="D19" s="10"/>
      <c r="E19" s="10"/>
      <c r="F19" s="18"/>
      <c r="H19" s="144"/>
    </row>
    <row r="20" spans="2:12" ht="15.75" thickBot="1" x14ac:dyDescent="0.3">
      <c r="B20" s="31" t="s">
        <v>42</v>
      </c>
      <c r="C20" s="32"/>
      <c r="D20" s="10"/>
      <c r="E20" s="10"/>
      <c r="F20" s="18"/>
      <c r="H20" s="144"/>
    </row>
    <row r="21" spans="2:12" x14ac:dyDescent="0.25">
      <c r="B21" s="368">
        <f>'Indicative PCN cost to Practice'!$C$40</f>
        <v>35316</v>
      </c>
      <c r="C21" s="62"/>
      <c r="D21" s="380">
        <f>$B$21*D5</f>
        <v>52974</v>
      </c>
      <c r="E21" s="382">
        <f>$B$21*D6</f>
        <v>24368.039999999997</v>
      </c>
      <c r="F21" s="370">
        <f>D21+E21</f>
        <v>77342.039999999994</v>
      </c>
      <c r="G21" s="41"/>
      <c r="H21" s="370">
        <f>$B$21*$D$9</f>
        <v>62156.160000000003</v>
      </c>
    </row>
    <row r="22" spans="2:12" ht="15.75" thickBot="1" x14ac:dyDescent="0.3">
      <c r="B22" s="369"/>
      <c r="C22" s="36"/>
      <c r="D22" s="381"/>
      <c r="E22" s="383"/>
      <c r="F22" s="371"/>
      <c r="G22" s="41"/>
      <c r="H22" s="371"/>
    </row>
    <row r="23" spans="2:12" x14ac:dyDescent="0.25">
      <c r="B23" t="s">
        <v>107</v>
      </c>
      <c r="F23" s="14" t="s">
        <v>78</v>
      </c>
      <c r="G23" s="10"/>
    </row>
    <row r="26" spans="2:12" ht="21" x14ac:dyDescent="0.35">
      <c r="B26" s="49" t="s">
        <v>75</v>
      </c>
    </row>
    <row r="27" spans="2:12" ht="15.75" thickBot="1" x14ac:dyDescent="0.3"/>
    <row r="28" spans="2:12" ht="15.75" thickBot="1" x14ac:dyDescent="0.3">
      <c r="H28" s="372" t="s">
        <v>80</v>
      </c>
      <c r="I28" s="373"/>
      <c r="J28" s="374" t="s">
        <v>81</v>
      </c>
      <c r="K28" s="376" t="s">
        <v>34</v>
      </c>
      <c r="L28" s="378" t="s">
        <v>44</v>
      </c>
    </row>
    <row r="29" spans="2:12" ht="21.75" thickBot="1" x14ac:dyDescent="0.3">
      <c r="B29" s="145" t="str">
        <f>'Indicative PCN cost to Practice'!B7</f>
        <v>Financial year</v>
      </c>
      <c r="C29" s="348" t="s">
        <v>95</v>
      </c>
      <c r="D29" s="349"/>
      <c r="E29" s="349"/>
      <c r="F29" s="350"/>
      <c r="G29" s="26"/>
      <c r="H29" s="15" t="s">
        <v>79</v>
      </c>
      <c r="I29" s="63" t="s">
        <v>68</v>
      </c>
      <c r="J29" s="375"/>
      <c r="K29" s="377"/>
      <c r="L29" s="379"/>
    </row>
    <row r="30" spans="2:12" x14ac:dyDescent="0.25">
      <c r="B30" s="146"/>
      <c r="C30" s="50" t="str">
        <f>'Indicative PCN cost to Practice'!D8</f>
        <v>MSK(7)</v>
      </c>
      <c r="D30" s="51" t="str">
        <f>'Indicative PCN cost to Practice'!E8</f>
        <v>ACP/Paramedic (6)</v>
      </c>
      <c r="E30" s="51" t="str">
        <f>'Indicative PCN cost to Practice'!F8</f>
        <v>Pharmacists (7)</v>
      </c>
      <c r="F30" s="56" t="str">
        <f>'Indicative PCN cost to Practice'!G8</f>
        <v>Physician Associates (7)</v>
      </c>
      <c r="H30" s="12"/>
      <c r="I30" s="13"/>
      <c r="J30" s="151"/>
      <c r="K30" s="151"/>
      <c r="L30" s="18"/>
    </row>
    <row r="31" spans="2:12" x14ac:dyDescent="0.25">
      <c r="B31" s="147"/>
      <c r="C31" s="52"/>
      <c r="D31" s="53"/>
      <c r="E31" s="53"/>
      <c r="F31" s="57"/>
      <c r="H31" s="12"/>
      <c r="I31" s="13"/>
      <c r="J31" s="151"/>
      <c r="K31" s="151"/>
      <c r="L31" s="18"/>
    </row>
    <row r="32" spans="2:12" ht="15" customHeight="1" x14ac:dyDescent="0.25">
      <c r="B32" s="147" t="str">
        <f>'Indicative PCN cost to Practice'!B10</f>
        <v>2019-2020</v>
      </c>
      <c r="C32" s="52">
        <f>'Indicative PCN cost to Practice'!D10</f>
        <v>0</v>
      </c>
      <c r="D32" s="53">
        <f>'Indicative PCN cost to Practice'!E10</f>
        <v>0</v>
      </c>
      <c r="E32" s="53">
        <f>'Indicative PCN cost to Practice'!F10</f>
        <v>1</v>
      </c>
      <c r="F32" s="57">
        <f>'Indicative PCN cost to Practice'!G10</f>
        <v>0</v>
      </c>
      <c r="H32" s="64">
        <f>I32/30*100</f>
        <v>25691.330520000003</v>
      </c>
      <c r="I32" s="65">
        <f>'Indicative PCN cost to Practice'!$I$10</f>
        <v>7707.3991560000004</v>
      </c>
      <c r="J32" s="152">
        <f>$D$21</f>
        <v>52974</v>
      </c>
      <c r="K32" s="152">
        <f>'Indicative PCN cost to Practice'!C40*0.51</f>
        <v>18011.16</v>
      </c>
      <c r="L32" s="149">
        <f>$B$21*$D$9</f>
        <v>62156.160000000003</v>
      </c>
    </row>
    <row r="33" spans="2:12" ht="15.75" customHeight="1" x14ac:dyDescent="0.25">
      <c r="B33" s="147" t="str">
        <f>'Indicative PCN cost to Practice'!B11</f>
        <v>2020-2021</v>
      </c>
      <c r="C33" s="52">
        <f>'Indicative PCN cost to Practice'!D11</f>
        <v>0</v>
      </c>
      <c r="D33" s="53">
        <f>'Indicative PCN cost to Practice'!E11</f>
        <v>0</v>
      </c>
      <c r="E33" s="53">
        <f>'Indicative PCN cost to Practice'!F11</f>
        <v>2</v>
      </c>
      <c r="F33" s="57">
        <f>'Indicative PCN cost to Practice'!G11</f>
        <v>0</v>
      </c>
      <c r="H33" s="64">
        <f t="shared" ref="H33:H36" si="4">I33/30*100</f>
        <v>69880.419014400002</v>
      </c>
      <c r="I33" s="65">
        <f>'Indicative PCN cost to Practice'!I11</f>
        <v>20964.125704320002</v>
      </c>
      <c r="J33" s="152">
        <f t="shared" ref="J33:J36" si="5">$D$21</f>
        <v>52974</v>
      </c>
      <c r="K33" s="152">
        <f t="shared" ref="K33:K36" si="6">$E$21</f>
        <v>24368.039999999997</v>
      </c>
      <c r="L33" s="149">
        <f>$B$21*$D$9</f>
        <v>62156.160000000003</v>
      </c>
    </row>
    <row r="34" spans="2:12" x14ac:dyDescent="0.25">
      <c r="B34" s="147" t="str">
        <f>'Indicative PCN cost to Practice'!B12</f>
        <v>2021-2022</v>
      </c>
      <c r="C34" s="52">
        <f>'Indicative PCN cost to Practice'!D12</f>
        <v>1</v>
      </c>
      <c r="D34" s="53">
        <f>'Indicative PCN cost to Practice'!E12</f>
        <v>0</v>
      </c>
      <c r="E34" s="53">
        <f>'Indicative PCN cost to Practice'!F12</f>
        <v>3</v>
      </c>
      <c r="F34" s="57">
        <f>'Indicative PCN cost to Practice'!G12</f>
        <v>1</v>
      </c>
      <c r="H34" s="64">
        <f t="shared" si="4"/>
        <v>178195.06848671997</v>
      </c>
      <c r="I34" s="65">
        <f>'Indicative PCN cost to Practice'!I12</f>
        <v>53458.520546015992</v>
      </c>
      <c r="J34" s="152">
        <f t="shared" si="5"/>
        <v>52974</v>
      </c>
      <c r="K34" s="152">
        <f t="shared" si="6"/>
        <v>24368.039999999997</v>
      </c>
      <c r="L34" s="149">
        <f>$B$21*$D$9</f>
        <v>62156.160000000003</v>
      </c>
    </row>
    <row r="35" spans="2:12" x14ac:dyDescent="0.25">
      <c r="B35" s="147" t="str">
        <f>'Indicative PCN cost to Practice'!B13</f>
        <v>2022-2023</v>
      </c>
      <c r="C35" s="52">
        <f>'Indicative PCN cost to Practice'!D13</f>
        <v>2</v>
      </c>
      <c r="D35" s="53">
        <f>'Indicative PCN cost to Practice'!E13</f>
        <v>1</v>
      </c>
      <c r="E35" s="53">
        <f>'Indicative PCN cost to Practice'!F13</f>
        <v>4</v>
      </c>
      <c r="F35" s="57">
        <f>'Indicative PCN cost to Practice'!G13</f>
        <v>1</v>
      </c>
      <c r="H35" s="64">
        <f t="shared" si="4"/>
        <v>284938.82661709515</v>
      </c>
      <c r="I35" s="65">
        <f>'Indicative PCN cost to Practice'!I13</f>
        <v>85481.647985128555</v>
      </c>
      <c r="J35" s="152">
        <f t="shared" si="5"/>
        <v>52974</v>
      </c>
      <c r="K35" s="152">
        <f t="shared" si="6"/>
        <v>24368.039999999997</v>
      </c>
      <c r="L35" s="149">
        <f>$B$21*$D$9</f>
        <v>62156.160000000003</v>
      </c>
    </row>
    <row r="36" spans="2:12" ht="15.75" thickBot="1" x14ac:dyDescent="0.3">
      <c r="B36" s="148" t="str">
        <f>'Indicative PCN cost to Practice'!B14</f>
        <v>2023-2024</v>
      </c>
      <c r="C36" s="54">
        <f>'Indicative PCN cost to Practice'!D14</f>
        <v>3</v>
      </c>
      <c r="D36" s="55">
        <f>'Indicative PCN cost to Practice'!E14</f>
        <v>1</v>
      </c>
      <c r="E36" s="55">
        <f>'Indicative PCN cost to Practice'!F14</f>
        <v>5</v>
      </c>
      <c r="F36" s="58">
        <f>'Indicative PCN cost to Practice'!G14</f>
        <v>2</v>
      </c>
      <c r="H36" s="66">
        <f t="shared" si="4"/>
        <v>401874.09270158724</v>
      </c>
      <c r="I36" s="67">
        <f>'Indicative PCN cost to Practice'!I14</f>
        <v>120562.22781047616</v>
      </c>
      <c r="J36" s="153">
        <f t="shared" si="5"/>
        <v>52974</v>
      </c>
      <c r="K36" s="153">
        <f t="shared" si="6"/>
        <v>24368.039999999997</v>
      </c>
      <c r="L36" s="150">
        <f>$B$21*$D$9</f>
        <v>62156.160000000003</v>
      </c>
    </row>
  </sheetData>
  <sheetProtection sheet="1" objects="1" scenarios="1"/>
  <customSheetViews>
    <customSheetView guid="{3A3D6D3D-C242-4ACD-A854-603FFD99C5F9}" state="hidden">
      <selection activeCell="L19" sqref="L19"/>
      <pageMargins left="0.7" right="0.7" top="0.75" bottom="0.75" header="0.3" footer="0.3"/>
    </customSheetView>
  </customSheetViews>
  <mergeCells count="10">
    <mergeCell ref="K28:K29"/>
    <mergeCell ref="L28:L29"/>
    <mergeCell ref="D21:D22"/>
    <mergeCell ref="E21:E22"/>
    <mergeCell ref="F21:F22"/>
    <mergeCell ref="B21:B22"/>
    <mergeCell ref="H21:H22"/>
    <mergeCell ref="C29:F29"/>
    <mergeCell ref="H28:I28"/>
    <mergeCell ref="J28:J29"/>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M28" sqref="M28:M29"/>
    </sheetView>
  </sheetViews>
  <sheetFormatPr defaultRowHeight="15" x14ac:dyDescent="0.25"/>
  <cols>
    <col min="3" max="3" width="15.5703125" bestFit="1" customWidth="1"/>
    <col min="4" max="4" width="12" customWidth="1"/>
    <col min="5" max="5" width="21.140625" customWidth="1"/>
    <col min="6" max="6" width="16.5703125" customWidth="1"/>
    <col min="7" max="7" width="12.7109375" customWidth="1"/>
    <col min="8" max="8" width="13.42578125" customWidth="1"/>
  </cols>
  <sheetData>
    <row r="1" spans="1:9" ht="23.25" x14ac:dyDescent="0.35">
      <c r="A1" s="77" t="s">
        <v>166</v>
      </c>
      <c r="B1" s="77"/>
      <c r="C1" s="77"/>
      <c r="D1" s="77"/>
      <c r="E1" s="77"/>
    </row>
    <row r="3" spans="1:9" x14ac:dyDescent="0.25">
      <c r="A3" t="s">
        <v>168</v>
      </c>
    </row>
    <row r="4" spans="1:9" x14ac:dyDescent="0.25">
      <c r="A4" t="s">
        <v>167</v>
      </c>
    </row>
    <row r="6" spans="1:9" ht="21" x14ac:dyDescent="0.35">
      <c r="A6" t="s">
        <v>86</v>
      </c>
      <c r="C6" s="291">
        <v>34113</v>
      </c>
    </row>
    <row r="7" spans="1:9" ht="15.75" thickBot="1" x14ac:dyDescent="0.3">
      <c r="A7" t="s">
        <v>85</v>
      </c>
    </row>
    <row r="8" spans="1:9" ht="47.25" x14ac:dyDescent="0.25">
      <c r="A8" s="1"/>
      <c r="C8" s="5" t="s">
        <v>12</v>
      </c>
      <c r="D8" s="5" t="s">
        <v>0</v>
      </c>
      <c r="E8" s="5" t="s">
        <v>1</v>
      </c>
      <c r="F8" s="5" t="s">
        <v>2</v>
      </c>
      <c r="G8" s="5" t="s">
        <v>3</v>
      </c>
      <c r="H8" s="9" t="s">
        <v>88</v>
      </c>
      <c r="I8" s="9" t="s">
        <v>14</v>
      </c>
    </row>
    <row r="9" spans="1:9" ht="32.25" thickBot="1" x14ac:dyDescent="0.3">
      <c r="A9" s="1"/>
      <c r="C9" s="6" t="s">
        <v>13</v>
      </c>
      <c r="D9" s="6"/>
      <c r="E9" s="6" t="s">
        <v>4</v>
      </c>
      <c r="F9" s="6"/>
      <c r="G9" s="6"/>
      <c r="H9" s="9" t="s">
        <v>16</v>
      </c>
      <c r="I9" s="73" t="s">
        <v>17</v>
      </c>
    </row>
    <row r="10" spans="1:9" ht="15.75" x14ac:dyDescent="0.25">
      <c r="A10" s="1"/>
      <c r="C10" s="7"/>
      <c r="D10" s="7"/>
      <c r="E10" s="7"/>
      <c r="F10" s="7"/>
      <c r="G10" s="7"/>
      <c r="H10" s="14"/>
      <c r="I10" s="72"/>
    </row>
    <row r="11" spans="1:9" x14ac:dyDescent="0.25">
      <c r="A11" s="42" t="s">
        <v>60</v>
      </c>
      <c r="B11" s="19" t="s">
        <v>56</v>
      </c>
      <c r="C11" s="59">
        <v>9</v>
      </c>
      <c r="D11" s="281">
        <v>24214</v>
      </c>
      <c r="E11" s="282">
        <f t="shared" ref="E11:E18" si="0">D11*0.106293426</f>
        <v>2573.7890171639997</v>
      </c>
      <c r="F11" s="282">
        <f t="shared" ref="F11:F18" si="1">14.38%*D11</f>
        <v>3481.9732000000004</v>
      </c>
      <c r="G11" s="282">
        <f>SUM(D11:F11)</f>
        <v>30269.762217164</v>
      </c>
      <c r="H11" s="283">
        <f t="shared" ref="H11:H18" si="2">IF(G11&gt;$C$6,G11-$C$6,0)</f>
        <v>0</v>
      </c>
      <c r="I11" s="75">
        <f t="shared" ref="I11:I18" si="3">H11/G11</f>
        <v>0</v>
      </c>
    </row>
    <row r="12" spans="1:9" x14ac:dyDescent="0.25">
      <c r="A12" s="42" t="s">
        <v>60</v>
      </c>
      <c r="B12" s="20"/>
      <c r="C12" s="59">
        <v>10</v>
      </c>
      <c r="D12" s="281">
        <v>24214</v>
      </c>
      <c r="E12" s="282">
        <f t="shared" si="0"/>
        <v>2573.7890171639997</v>
      </c>
      <c r="F12" s="282">
        <f t="shared" si="1"/>
        <v>3481.9732000000004</v>
      </c>
      <c r="G12" s="282">
        <f t="shared" ref="G12:G18" si="4">SUM(D12:F12)</f>
        <v>30269.762217164</v>
      </c>
      <c r="H12" s="283">
        <f t="shared" si="2"/>
        <v>0</v>
      </c>
      <c r="I12" s="75">
        <f t="shared" si="3"/>
        <v>0</v>
      </c>
    </row>
    <row r="13" spans="1:9" x14ac:dyDescent="0.25">
      <c r="A13" s="42" t="s">
        <v>60</v>
      </c>
      <c r="B13" s="20"/>
      <c r="C13" s="59">
        <v>11</v>
      </c>
      <c r="D13" s="281">
        <v>24214</v>
      </c>
      <c r="E13" s="282">
        <f t="shared" si="0"/>
        <v>2573.7890171639997</v>
      </c>
      <c r="F13" s="282">
        <f t="shared" si="1"/>
        <v>3481.9732000000004</v>
      </c>
      <c r="G13" s="282">
        <f t="shared" si="4"/>
        <v>30269.762217164</v>
      </c>
      <c r="H13" s="283">
        <f t="shared" si="2"/>
        <v>0</v>
      </c>
      <c r="I13" s="75">
        <f t="shared" si="3"/>
        <v>0</v>
      </c>
    </row>
    <row r="14" spans="1:9" x14ac:dyDescent="0.25">
      <c r="A14" s="42" t="s">
        <v>60</v>
      </c>
      <c r="B14" s="20"/>
      <c r="C14" s="59">
        <v>12</v>
      </c>
      <c r="D14" s="281">
        <v>26220</v>
      </c>
      <c r="E14" s="282">
        <f t="shared" si="0"/>
        <v>2787.0136297199997</v>
      </c>
      <c r="F14" s="282">
        <f t="shared" si="1"/>
        <v>3770.4360000000001</v>
      </c>
      <c r="G14" s="282">
        <f t="shared" si="4"/>
        <v>32777.449629720002</v>
      </c>
      <c r="H14" s="283">
        <f t="shared" si="2"/>
        <v>0</v>
      </c>
      <c r="I14" s="75">
        <f t="shared" si="3"/>
        <v>0</v>
      </c>
    </row>
    <row r="15" spans="1:9" x14ac:dyDescent="0.25">
      <c r="A15" s="42" t="s">
        <v>60</v>
      </c>
      <c r="B15" s="19" t="s">
        <v>7</v>
      </c>
      <c r="C15" s="59">
        <v>13</v>
      </c>
      <c r="D15" s="281">
        <v>26220</v>
      </c>
      <c r="E15" s="282">
        <f t="shared" si="0"/>
        <v>2787.0136297199997</v>
      </c>
      <c r="F15" s="282">
        <f t="shared" si="1"/>
        <v>3770.4360000000001</v>
      </c>
      <c r="G15" s="282">
        <f t="shared" si="4"/>
        <v>32777.449629720002</v>
      </c>
      <c r="H15" s="283">
        <f t="shared" si="2"/>
        <v>0</v>
      </c>
      <c r="I15" s="75">
        <f t="shared" si="3"/>
        <v>0</v>
      </c>
    </row>
    <row r="16" spans="1:9" x14ac:dyDescent="0.25">
      <c r="A16" s="42" t="s">
        <v>60</v>
      </c>
      <c r="B16" s="20"/>
      <c r="C16" s="59">
        <v>14</v>
      </c>
      <c r="D16" s="281">
        <v>27260</v>
      </c>
      <c r="E16" s="282">
        <f t="shared" si="0"/>
        <v>2897.55879276</v>
      </c>
      <c r="F16" s="282">
        <f t="shared" si="1"/>
        <v>3919.9880000000003</v>
      </c>
      <c r="G16" s="282">
        <f t="shared" si="4"/>
        <v>34077.546792759997</v>
      </c>
      <c r="H16" s="283">
        <f t="shared" si="2"/>
        <v>0</v>
      </c>
      <c r="I16" s="75">
        <f t="shared" si="3"/>
        <v>0</v>
      </c>
    </row>
    <row r="17" spans="1:9" x14ac:dyDescent="0.25">
      <c r="A17" s="42" t="s">
        <v>60</v>
      </c>
      <c r="B17" s="20"/>
      <c r="C17" s="59">
        <v>15</v>
      </c>
      <c r="D17" s="281">
        <v>28358</v>
      </c>
      <c r="E17" s="282">
        <f t="shared" si="0"/>
        <v>3014.2689745079997</v>
      </c>
      <c r="F17" s="282">
        <f t="shared" si="1"/>
        <v>4077.8804000000005</v>
      </c>
      <c r="G17" s="282">
        <f t="shared" si="4"/>
        <v>35450.149374508001</v>
      </c>
      <c r="H17" s="283">
        <f t="shared" si="2"/>
        <v>1337.1493745080006</v>
      </c>
      <c r="I17" s="75">
        <f t="shared" si="3"/>
        <v>3.7719146409846645E-2</v>
      </c>
    </row>
    <row r="18" spans="1:9" x14ac:dyDescent="0.25">
      <c r="A18" s="42" t="s">
        <v>60</v>
      </c>
      <c r="B18" s="19" t="s">
        <v>57</v>
      </c>
      <c r="C18" s="59">
        <v>16</v>
      </c>
      <c r="D18" s="281">
        <v>30112</v>
      </c>
      <c r="E18" s="282">
        <f t="shared" si="0"/>
        <v>3200.7076437119999</v>
      </c>
      <c r="F18" s="282">
        <f t="shared" si="1"/>
        <v>4330.1056000000008</v>
      </c>
      <c r="G18" s="282">
        <f t="shared" si="4"/>
        <v>37642.813243712</v>
      </c>
      <c r="H18" s="283">
        <f t="shared" si="2"/>
        <v>3529.8132437120003</v>
      </c>
      <c r="I18" s="75">
        <f t="shared" si="3"/>
        <v>9.3771239170112611E-2</v>
      </c>
    </row>
    <row r="19" spans="1:9" x14ac:dyDescent="0.25">
      <c r="D19" s="284"/>
      <c r="E19" s="284"/>
      <c r="F19" s="284"/>
      <c r="G19" s="284"/>
      <c r="H19" s="284"/>
    </row>
    <row r="20" spans="1:9" x14ac:dyDescent="0.25">
      <c r="D20" s="284"/>
      <c r="E20" s="284"/>
      <c r="F20" s="284"/>
      <c r="G20" s="284"/>
      <c r="H20" s="284"/>
      <c r="I20" s="72"/>
    </row>
    <row r="21" spans="1:9" ht="8.25" customHeight="1" x14ac:dyDescent="0.25">
      <c r="D21" s="284"/>
      <c r="E21" s="284"/>
      <c r="F21" s="284"/>
      <c r="G21" s="284"/>
      <c r="H21" s="284"/>
      <c r="I21" s="72"/>
    </row>
    <row r="22" spans="1:9" ht="26.25" x14ac:dyDescent="0.4">
      <c r="A22" s="76" t="s">
        <v>90</v>
      </c>
      <c r="B22" s="76"/>
      <c r="C22" s="76"/>
      <c r="D22" s="285"/>
      <c r="E22" s="286" t="s">
        <v>87</v>
      </c>
      <c r="F22" s="287">
        <f>'Indicative PCN cost to Practice'!C24</f>
        <v>0.02</v>
      </c>
      <c r="G22" s="288"/>
      <c r="H22" s="288"/>
      <c r="I22" s="75"/>
    </row>
    <row r="23" spans="1:9" x14ac:dyDescent="0.25">
      <c r="A23" s="74"/>
      <c r="B23" s="74"/>
      <c r="C23" s="74"/>
      <c r="D23" s="288"/>
      <c r="E23" s="288"/>
      <c r="F23" s="288"/>
      <c r="G23" s="288"/>
      <c r="H23" s="288"/>
      <c r="I23" s="75"/>
    </row>
    <row r="24" spans="1:9" x14ac:dyDescent="0.25">
      <c r="A24" s="74">
        <v>2019</v>
      </c>
      <c r="B24" s="74"/>
      <c r="C24" s="74"/>
      <c r="D24" s="289">
        <v>26220</v>
      </c>
      <c r="E24" s="290">
        <f t="shared" ref="E24" si="5">D24*0.106293426</f>
        <v>2787.0136297199997</v>
      </c>
      <c r="F24" s="290">
        <f t="shared" ref="F24" si="6">14.38%*D24</f>
        <v>3770.4360000000001</v>
      </c>
      <c r="G24" s="290">
        <f t="shared" ref="G24" si="7">SUM(D24:F24)</f>
        <v>32777.449629720002</v>
      </c>
      <c r="H24" s="283">
        <f>IF(G24&gt;$C$6,G24-$C$6,0)</f>
        <v>0</v>
      </c>
      <c r="I24" s="75">
        <f>H24/G24</f>
        <v>0</v>
      </c>
    </row>
    <row r="25" spans="1:9" x14ac:dyDescent="0.25">
      <c r="A25" s="74">
        <v>2020</v>
      </c>
      <c r="B25" s="74"/>
      <c r="C25" s="74"/>
      <c r="D25" s="283">
        <v>27416</v>
      </c>
      <c r="E25" s="283">
        <f>E24*(100%+'Indicative PCN cost to Practice'!$C$24)</f>
        <v>2842.7539023144</v>
      </c>
      <c r="F25" s="283">
        <f>F24*(100%+'Indicative PCN cost to Practice'!$C$24)</f>
        <v>3845.8447200000001</v>
      </c>
      <c r="G25" s="290">
        <f>G24*(100%+'Indicative PCN cost to Practice'!$C$24)</f>
        <v>33432.998622314401</v>
      </c>
      <c r="H25" s="283">
        <f>H24*(100%+'Indicative PCN cost to Practice'!$C$24)</f>
        <v>0</v>
      </c>
      <c r="I25" s="75">
        <f>H25/G25</f>
        <v>0</v>
      </c>
    </row>
    <row r="26" spans="1:9" x14ac:dyDescent="0.25">
      <c r="A26" s="74">
        <v>2021</v>
      </c>
      <c r="B26" s="74"/>
      <c r="C26" s="74"/>
      <c r="D26" s="283">
        <f>D25*(100%+'Indicative PCN cost to Practice'!$C$24)</f>
        <v>27964.32</v>
      </c>
      <c r="E26" s="283">
        <f>E25*(100%+'Indicative PCN cost to Practice'!$C$24)</f>
        <v>2899.6089803606878</v>
      </c>
      <c r="F26" s="283">
        <f>F25*(100%+'Indicative PCN cost to Practice'!$C$24)</f>
        <v>3922.7616144000003</v>
      </c>
      <c r="G26" s="290">
        <f>G25*(100%+'Indicative PCN cost to Practice'!$C$24)</f>
        <v>34101.658594760687</v>
      </c>
      <c r="H26" s="283">
        <f>H25*(100%+'Indicative PCN cost to Practice'!$C$24)</f>
        <v>0</v>
      </c>
      <c r="I26" s="75">
        <f>H26/G26</f>
        <v>0</v>
      </c>
    </row>
    <row r="27" spans="1:9" x14ac:dyDescent="0.25">
      <c r="A27" s="74">
        <v>2022</v>
      </c>
      <c r="B27" s="74"/>
      <c r="C27" s="74"/>
      <c r="D27" s="283">
        <f>D26*(100%+'Indicative PCN cost to Practice'!$C$24)</f>
        <v>28523.606400000001</v>
      </c>
      <c r="E27" s="283">
        <f>E26*(100%+'Indicative PCN cost to Practice'!$C$24)</f>
        <v>2957.6011599679018</v>
      </c>
      <c r="F27" s="283">
        <f>F26*(100%+'Indicative PCN cost to Practice'!$C$24)</f>
        <v>4001.2168466880003</v>
      </c>
      <c r="G27" s="290">
        <f>G26*(100%+'Indicative PCN cost to Practice'!$C$24)</f>
        <v>34783.691766655902</v>
      </c>
      <c r="H27" s="283">
        <f>H26*(100%+'Indicative PCN cost to Practice'!$C$24) +IF(G27&gt;$C$6,G27-$C$6,0)</f>
        <v>670.69176665590203</v>
      </c>
      <c r="I27" s="75">
        <f>H27/G27</f>
        <v>1.9281787889427995E-2</v>
      </c>
    </row>
    <row r="28" spans="1:9" x14ac:dyDescent="0.25">
      <c r="A28" s="74">
        <v>2023</v>
      </c>
      <c r="B28" s="74"/>
      <c r="C28" s="74"/>
      <c r="D28" s="283">
        <f>D27*(100%+'Indicative PCN cost to Practice'!$C$24)</f>
        <v>29094.078528000002</v>
      </c>
      <c r="E28" s="283">
        <f>E27*(100%+'Indicative PCN cost to Practice'!$C$24)</f>
        <v>3016.75318316726</v>
      </c>
      <c r="F28" s="283">
        <f>F27*(100%+'Indicative PCN cost to Practice'!$C$24)</f>
        <v>4081.2411836217602</v>
      </c>
      <c r="G28" s="290">
        <f>G27*(100%+'Indicative PCN cost to Practice'!$C$24)</f>
        <v>35479.365601989019</v>
      </c>
      <c r="H28" s="283">
        <f>H27*(100%+'Indicative PCN cost to Practice'!$C$24) +IF(G28&gt;$C$6,G28-$C$6,0)</f>
        <v>2050.4712039780388</v>
      </c>
      <c r="I28" s="75">
        <f>H28/G28</f>
        <v>5.7793344643769132E-2</v>
      </c>
    </row>
    <row r="29" spans="1:9" x14ac:dyDescent="0.25">
      <c r="D29" s="284"/>
      <c r="E29" s="284"/>
      <c r="F29" s="284"/>
      <c r="G29" s="284"/>
      <c r="H29" s="284"/>
    </row>
    <row r="30" spans="1:9" x14ac:dyDescent="0.25">
      <c r="A30" t="s">
        <v>89</v>
      </c>
    </row>
  </sheetData>
  <customSheetViews>
    <customSheetView guid="{3A3D6D3D-C242-4ACD-A854-603FFD99C5F9}">
      <selection activeCell="M28" sqref="M28:M29"/>
      <pageMargins left="0.7" right="0.7" top="0.75" bottom="0.75" header="0.3" footer="0.3"/>
      <pageSetup paperSize="9" orientation="portrait" r:id="rId1"/>
    </customSheetView>
  </customSheetViews>
  <conditionalFormatting sqref="G24">
    <cfRule type="cellIs" dxfId="7" priority="8" operator="greaterThan">
      <formula>34113</formula>
    </cfRule>
  </conditionalFormatting>
  <conditionalFormatting sqref="G25:G28">
    <cfRule type="cellIs" dxfId="6" priority="7" operator="greaterThan">
      <formula>34113</formula>
    </cfRule>
  </conditionalFormatting>
  <conditionalFormatting sqref="H27">
    <cfRule type="cellIs" dxfId="5" priority="6" operator="greaterThan">
      <formula>0</formula>
    </cfRule>
  </conditionalFormatting>
  <conditionalFormatting sqref="H24:H26">
    <cfRule type="cellIs" dxfId="4" priority="5" operator="greaterThan">
      <formula>0</formula>
    </cfRule>
  </conditionalFormatting>
  <conditionalFormatting sqref="H28">
    <cfRule type="cellIs" dxfId="3" priority="4" operator="greaterThan">
      <formula>0</formula>
    </cfRule>
  </conditionalFormatting>
  <conditionalFormatting sqref="I24:I28">
    <cfRule type="cellIs" dxfId="2" priority="3" operator="greaterThan">
      <formula>0</formula>
    </cfRule>
  </conditionalFormatting>
  <conditionalFormatting sqref="I11:I18">
    <cfRule type="cellIs" dxfId="1" priority="2" operator="greaterThan">
      <formula>0</formula>
    </cfRule>
  </conditionalFormatting>
  <conditionalFormatting sqref="H11:H18">
    <cfRule type="cellIs" dxfId="0" priority="1" operator="greaterThan">
      <formula>0</formula>
    </cfRule>
  </conditionalFormatting>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Narrative</vt:lpstr>
      <vt:lpstr>Simple summary</vt:lpstr>
      <vt:lpstr>PCN Costs</vt:lpstr>
      <vt:lpstr>Indicative PCN cost to Practice</vt:lpstr>
      <vt:lpstr>Workforce Model</vt:lpstr>
      <vt:lpstr>A4C Pay Bands (pharm ACP etc)</vt:lpstr>
      <vt:lpstr>PCN Funding streams</vt:lpstr>
      <vt:lpstr>Social Prescribing "100%"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Boylan</dc:creator>
  <cp:lastModifiedBy>Windows User</cp:lastModifiedBy>
  <cp:lastPrinted>2019-05-20T10:21:13Z</cp:lastPrinted>
  <dcterms:created xsi:type="dcterms:W3CDTF">2019-04-04T09:32:50Z</dcterms:created>
  <dcterms:modified xsi:type="dcterms:W3CDTF">2019-05-21T09:51:31Z</dcterms:modified>
</cp:coreProperties>
</file>